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Opening Items" sheetId="3" r:id="rId3"/>
    <sheet name="Revenue" sheetId="4" r:id="rId4"/>
    <sheet name="Payments" sheetId="5" r:id="rId5"/>
    <sheet name="Forecast" sheetId="6" r:id="rId6"/>
    <sheet name="Dashboard" sheetId="7" r:id="rId7"/>
    <sheet name="Lists" sheetId="8" state="hidden" r:id="rId8"/>
  </sheets>
  <definedNames>
    <definedName name="BaseBilling">Setup!$C$23</definedName>
    <definedName name="BillAdj">Setup!$F$16</definedName>
    <definedName name="ClinicName">Setup!$C$5</definedName>
    <definedName name="CostAdj">Setup!$F$19</definedName>
    <definedName name="Currency">Setup!$C$6</definedName>
    <definedName name="DelayAdj">Setup!$F$17</definedName>
    <definedName name="DenialAdj">Setup!$F$18</definedName>
    <definedName name="GrowthWk">Setup!$C$24</definedName>
    <definedName name="MinBuffer">Setup!$C$9</definedName>
    <definedName name="OpeningCash">Setup!$C$8</definedName>
    <definedName name="_xlnm.Print_Area" localSheetId="6">Dashboard!$A$1:$N$70</definedName>
    <definedName name="_xlnm.Print_Area" localSheetId="5">Forecast!$A$1:$Q$50</definedName>
    <definedName name="_xlnm.Print_Titles" localSheetId="5">Forecast!$4:$6</definedName>
    <definedName name="Scenario">Setup!$C$13</definedName>
    <definedName name="StartDate">Setup!$C$7</definedName>
  </definedNames>
  <calcPr calcId="124519" fullCalcOnLoad="1"/>
</workbook>
</file>

<file path=xl/sharedStrings.xml><?xml version="1.0" encoding="utf-8"?>
<sst xmlns="http://schemas.openxmlformats.org/spreadsheetml/2006/main" count="304" uniqueCount="235">
  <si>
    <t>Payroll and staff costs</t>
  </si>
  <si>
    <t>Clinical and locum fees</t>
  </si>
  <si>
    <t>Rent and facilities</t>
  </si>
  <si>
    <t>Utilities and telecoms</t>
  </si>
  <si>
    <t>Insurance and indemnity</t>
  </si>
  <si>
    <t>Licences and regulatory fees</t>
  </si>
  <si>
    <t>IT, software and subscriptions</t>
  </si>
  <si>
    <t>Marketing and advertising</t>
  </si>
  <si>
    <t>Professional fees</t>
  </si>
  <si>
    <t>Loan and finance repayments</t>
  </si>
  <si>
    <t>VAT and taxes</t>
  </si>
  <si>
    <t>Capital expenditure</t>
  </si>
  <si>
    <t>Other operating costs</t>
  </si>
  <si>
    <t>Weekly</t>
  </si>
  <si>
    <t>Fortnightly</t>
  </si>
  <si>
    <t>Monthly</t>
  </si>
  <si>
    <t>Quarterly</t>
  </si>
  <si>
    <t>One-off</t>
  </si>
  <si>
    <t>Base</t>
  </si>
  <si>
    <t>Downside</t>
  </si>
  <si>
    <t>Upside</t>
  </si>
  <si>
    <t>Setup and Assumptions</t>
  </si>
  <si>
    <t>Fill in the yellow cells with blue text. Everything else calculates. The figures shown are examples: replace them with your clinic's numbers.</t>
  </si>
  <si>
    <t>Colour key:  blue text on yellow = you type here   |   black = calculated   |   green = pulled from another sheet</t>
  </si>
  <si>
    <t>1.  Clinic and cash position</t>
  </si>
  <si>
    <t>Clinic name</t>
  </si>
  <si>
    <t>Al Noor Medical Centre (example)</t>
  </si>
  <si>
    <t>Shown on the Forecast and Dashboard headings.</t>
  </si>
  <si>
    <t>Currency</t>
  </si>
  <si>
    <t>AED</t>
  </si>
  <si>
    <t>Label only. All amounts are in this currency.</t>
  </si>
  <si>
    <t>Forecast start date (a Monday)</t>
  </si>
  <si>
    <t>Week 1 begins on this date. Move it forward each week when you roll the forecast.</t>
  </si>
  <si>
    <t>Opening cash balance</t>
  </si>
  <si>
    <t>Total across all bank accounts and petty cash on the start date. Use the actual bank balance.</t>
  </si>
  <si>
    <t>Minimum cash buffer</t>
  </si>
  <si>
    <t>The lowest balance you are comfortable holding, for example 2 weeks of payments.</t>
  </si>
  <si>
    <t>Suggested buffer: 2 weeks of average payments</t>
  </si>
  <si>
    <t>Calculated from your payments. Use it as a guide when choosing the buffer above.</t>
  </si>
  <si>
    <t>2.  Scenario</t>
  </si>
  <si>
    <t>Active scenario</t>
  </si>
  <si>
    <t>Switch to Downside to stress test late insurer payments, more denials and lower billings.</t>
  </si>
  <si>
    <t>Scenario lever</t>
  </si>
  <si>
    <t>Active</t>
  </si>
  <si>
    <t>Billings adjustment</t>
  </si>
  <si>
    <t>Extra insurer payment delay (weeks)</t>
  </si>
  <si>
    <t>Extra denial rate (percentage points)</t>
  </si>
  <si>
    <t>Operating cost adjustment</t>
  </si>
  <si>
    <t>Cost adjustment applies to operating costs. Loan repayments, VAT, licence fees and capital expenditure are not adjusted. Delay applies to insurers and corporate accounts, not to self pay.</t>
  </si>
  <si>
    <t>3.  Revenue drivers</t>
  </si>
  <si>
    <t>Base weekly billings (Week 1)</t>
  </si>
  <si>
    <t>What you expect to invoice patients and insurers in a normal week, before any payment delays.</t>
  </si>
  <si>
    <t>Average weekly growth in billings</t>
  </si>
  <si>
    <t>For example 0.5% a week. Use 0% if billings are flat.</t>
  </si>
  <si>
    <t>4.  Payer mix and collection profile</t>
  </si>
  <si>
    <t>Payer or patient group</t>
  </si>
  <si>
    <t>Share of billings</t>
  </si>
  <si>
    <t>Days to get paid</t>
  </si>
  <si>
    <t>Denial or write off rate</t>
  </si>
  <si>
    <t>Payment lag (weeks)</t>
  </si>
  <si>
    <t>Effective lag (weeks)</t>
  </si>
  <si>
    <t>Effective denial rate</t>
  </si>
  <si>
    <t>Self pay (cash and card)</t>
  </si>
  <si>
    <t>Insurer A (large network)</t>
  </si>
  <si>
    <t>Insurer B</t>
  </si>
  <si>
    <t>Government schemes</t>
  </si>
  <si>
    <t>Corporate accounts</t>
  </si>
  <si>
    <t>Other payer (spare)</t>
  </si>
  <si>
    <t>Total (must equal 100%)</t>
  </si>
  <si>
    <t>Days to get paid: average days from sending the claim or invoice to the money reaching your bank. Denial rate: share of billings you do not expect to collect at all.</t>
  </si>
  <si>
    <t>5.  Variable costs (paid as a share of billings)</t>
  </si>
  <si>
    <t>Cost line</t>
  </si>
  <si>
    <t>Days to pay supplier</t>
  </si>
  <si>
    <t>Medical supplies and consumables</t>
  </si>
  <si>
    <t>Laboratory and third party services</t>
  </si>
  <si>
    <t>Doctor fee share (paid on billings)</t>
  </si>
  <si>
    <t>Other variable cost (spare)</t>
  </si>
  <si>
    <t>Fixed and scheduled costs such as rent, salaries and loans go on the Payments sheet. Costs that already exist at the start go on Opening Items.</t>
  </si>
  <si>
    <t>Opening Items: money already owed to you and by you</t>
  </si>
  <si>
    <t>Use your aged debtors and aged creditors reports. Blue cells are inputs.</t>
  </si>
  <si>
    <t>Week</t>
  </si>
  <si>
    <t>Week beginning</t>
  </si>
  <si>
    <t>Week ending</t>
  </si>
  <si>
    <t>Collections from money already owed to you at the start</t>
  </si>
  <si>
    <t>Take the unpaid claims and invoices from your aged debtors report and estimate the week each one will be paid. Do not include claims you have not yet submitted: those come from billings on the Revenue sheet.</t>
  </si>
  <si>
    <t>Expected collections from opening receivables</t>
  </si>
  <si>
    <t>Payments on bills you already owe at the start</t>
  </si>
  <si>
    <t>Take the unpaid supplier bills and accruals from your aged creditors report and estimate the week each one will be paid.</t>
  </si>
  <si>
    <t>Expected payments on opening payables</t>
  </si>
  <si>
    <t>Other one-off cash receipts</t>
  </si>
  <si>
    <t>Anything not from normal billings: insurer settlements, refunds, grants, owner or shareholder funding, asset sales.</t>
  </si>
  <si>
    <t>Other cash receipts</t>
  </si>
  <si>
    <t>Revenue and Cash Receipts</t>
  </si>
  <si>
    <t>Billings drive collections. Each payer pays after its own delay, less denials. All formulas: only the seasonality row is an input.</t>
  </si>
  <si>
    <t>Billings: what you invoice patients and insurers each week</t>
  </si>
  <si>
    <t>Seasonality index (input)</t>
  </si>
  <si>
    <t>Total billings</t>
  </si>
  <si>
    <t>100% is a normal week. Use 85% for a quiet holiday or summer week, 110% for a busy one. Weeks 12 and 13 are set to 90% as an example for year end.</t>
  </si>
  <si>
    <t>Share</t>
  </si>
  <si>
    <t>Billings by payer</t>
  </si>
  <si>
    <t>Cash collected from new billings (after each payer's payment delay and denials)</t>
  </si>
  <si>
    <t>Lag (wks)</t>
  </si>
  <si>
    <t>Collections from opening receivables</t>
  </si>
  <si>
    <t>TOTAL CASH RECEIPTS</t>
  </si>
  <si>
    <t>Payments Schedule</t>
  </si>
  <si>
    <t>List every regular or one-off payment once. The weekly amounts on the right are calculated from the frequency and first payment date.</t>
  </si>
  <si>
    <t>#</t>
  </si>
  <si>
    <t>Payment item</t>
  </si>
  <si>
    <t>Category</t>
  </si>
  <si>
    <t>Frequency</t>
  </si>
  <si>
    <t>Amount per payment</t>
  </si>
  <si>
    <t>First payment date</t>
  </si>
  <si>
    <t>Notes</t>
  </si>
  <si>
    <t>Wk 1</t>
  </si>
  <si>
    <t>Wk 2</t>
  </si>
  <si>
    <t>Wk 3</t>
  </si>
  <si>
    <t>Wk 4</t>
  </si>
  <si>
    <t>Wk 5</t>
  </si>
  <si>
    <t>Wk 6</t>
  </si>
  <si>
    <t>Wk 7</t>
  </si>
  <si>
    <t>Wk 8</t>
  </si>
  <si>
    <t>Wk 9</t>
  </si>
  <si>
    <t>Wk 10</t>
  </si>
  <si>
    <t>Wk 11</t>
  </si>
  <si>
    <t>Wk 12</t>
  </si>
  <si>
    <t>Wk 13</t>
  </si>
  <si>
    <t>13 week total</t>
  </si>
  <si>
    <t>Salaries: clinical and admin staff</t>
  </si>
  <si>
    <t>Paid on the 28th</t>
  </si>
  <si>
    <t>Sessional doctors and locums</t>
  </si>
  <si>
    <t>Clinic rent</t>
  </si>
  <si>
    <t>Paid quarterly in advance</t>
  </si>
  <si>
    <t>Cleaning and security</t>
  </si>
  <si>
    <t>Electricity and water</t>
  </si>
  <si>
    <t>Telecom and internet</t>
  </si>
  <si>
    <t>Staff medical insurance</t>
  </si>
  <si>
    <t>Professional indemnity renewal</t>
  </si>
  <si>
    <t>Annual premium</t>
  </si>
  <si>
    <t>DHA facility licence renewal</t>
  </si>
  <si>
    <t>Renewal fee</t>
  </si>
  <si>
    <t>Practice management and EMR</t>
  </si>
  <si>
    <t>First date can be in the past</t>
  </si>
  <si>
    <t>Digital marketing</t>
  </si>
  <si>
    <t>Audit and accounting fees</t>
  </si>
  <si>
    <t>Equipment loan repayment</t>
  </si>
  <si>
    <t>VAT payment to the FTA</t>
  </si>
  <si>
    <t>Quarterly VAT return</t>
  </si>
  <si>
    <t>Ultrasound machine purchase</t>
  </si>
  <si>
    <t>Enter the payment date, not the order date</t>
  </si>
  <si>
    <t>Petty cash and sundry</t>
  </si>
  <si>
    <t>Medical waste disposal</t>
  </si>
  <si>
    <t>TOTAL SCHEDULED PAYMENTS</t>
  </si>
  <si>
    <t>How the schedule works</t>
  </si>
  <si>
    <t>Weekly and Fortnightly: repeats every 7 or 14 days from the first payment date.</t>
  </si>
  <si>
    <t>Monthly: repeats on the same day each month (a 31st becomes the last day of shorter months). Quarterly: every third month from the first payment date.</t>
  </si>
  <si>
    <t>One-off: paid once on the date shown. First payment date can be before the forecast start for regular payments, and the schedule picks up the next due date.</t>
  </si>
  <si>
    <t>Loan repayments, VAT, licence fees and capital expenditure are not changed by the scenario cost adjustment. All other payments are.</t>
  </si>
  <si>
    <t>Add more payments in the blank yellow rows. To use more than 30 lines, insert rows inside the table so the totals stretch to include them.</t>
  </si>
  <si>
    <t>13 Week Cash Flow Forecast</t>
  </si>
  <si>
    <t>OPENING CASH</t>
  </si>
  <si>
    <t>CASH RECEIPTS</t>
  </si>
  <si>
    <t>Collections from money already owed at the start</t>
  </si>
  <si>
    <t>CASH PAYMENTS</t>
  </si>
  <si>
    <t>Payments on bills already owed at the start</t>
  </si>
  <si>
    <t>TOTAL CASH PAYMENTS</t>
  </si>
  <si>
    <t>NET CASH FLOW</t>
  </si>
  <si>
    <t>CLOSING CASH</t>
  </si>
  <si>
    <t>Headroom above the buffer</t>
  </si>
  <si>
    <t>Status</t>
  </si>
  <si>
    <t>Weeks of cover (closing cash / average weekly payments)</t>
  </si>
  <si>
    <t>Cumulative net cash flow</t>
  </si>
  <si>
    <t>Helper: week number if below buffer</t>
  </si>
  <si>
    <t>Total</t>
  </si>
  <si>
    <t>13 weeks</t>
  </si>
  <si>
    <t>CLOSING CASH, WEEK 13</t>
  </si>
  <si>
    <t>NET CASH FLOW, 13 WEEKS</t>
  </si>
  <si>
    <t>LOWEST CLOSING CASH</t>
  </si>
  <si>
    <t>WEEK OF LOWEST CASH</t>
  </si>
  <si>
    <t>WEEKS BELOW BUFFER</t>
  </si>
  <si>
    <t>AVERAGE WEEKLY PAYMENTS</t>
  </si>
  <si>
    <t>WEEKS OF COVER AT WEEK 13</t>
  </si>
  <si>
    <t>FIRST WEEK BELOW BUFFER</t>
  </si>
  <si>
    <t>LOWEST HEADROOM ABOVE BUFFER</t>
  </si>
  <si>
    <t>What the forecast is telling you</t>
  </si>
  <si>
    <t>Model checks</t>
  </si>
  <si>
    <t>Payer shares add up to 100%</t>
  </si>
  <si>
    <t>Cash roll forward: opening cash plus net cash flow equals closing cash</t>
  </si>
  <si>
    <t>Every scheduled payment lands on a Forecast line (categories are valid)</t>
  </si>
  <si>
    <t>Forecast receipts equal Revenue receipts</t>
  </si>
  <si>
    <t>Opening cash is entered</t>
  </si>
  <si>
    <t>Overall</t>
  </si>
  <si>
    <t>13 Week Cash Flow Forecast for Clinics</t>
  </si>
  <si>
    <t>A ready to use forecasting workbook from OzaniX Partners</t>
  </si>
  <si>
    <t>What this workbook does</t>
  </si>
  <si>
    <t>It shows, week by week for the next 13 weeks, how much cash you expect to receive from patients and insurers, how much you expect to pay out, and what your bank balance will be at the end of every week. It flags the weeks when cash falls below the safety buffer you set, so you can act early instead of reacting late.</t>
  </si>
  <si>
    <t>How to use it in five steps</t>
  </si>
  <si>
    <t>1.  Setup</t>
  </si>
  <si>
    <t>Enter your clinic name, a Monday start date, your real opening bank balance and your minimum cash buffer.</t>
  </si>
  <si>
    <t>2.  Setup</t>
  </si>
  <si>
    <t>Enter base weekly billings, then your payer mix: for each insurer or patient group, its share of billings, the days it takes to pay you and the share you expect it to deny.</t>
  </si>
  <si>
    <t>3.  Opening Items</t>
  </si>
  <si>
    <t>Using your aged debtors and aged creditors reports, enter what you expect to collect and pay from balances that already exist today.</t>
  </si>
  <si>
    <t>4.  Payments</t>
  </si>
  <si>
    <t>List every regular or one-off payment once, with its amount, frequency and first payment date. The weekly amounts calculate themselves.</t>
  </si>
  <si>
    <t>5.  Forecast and Dashboard</t>
  </si>
  <si>
    <t>Review the result. Then switch the scenario on Setup to Downside to see what happens if insurers pay later and billings dip. Update the workbook every week.</t>
  </si>
  <si>
    <t>Colour key</t>
  </si>
  <si>
    <t>Blue text on yellow</t>
  </si>
  <si>
    <t>An input. This is where you type.</t>
  </si>
  <si>
    <t>Black text</t>
  </si>
  <si>
    <t>A formula. Do not type over it.</t>
  </si>
  <si>
    <t>Green text</t>
  </si>
  <si>
    <t>A value pulled from another sheet.</t>
  </si>
  <si>
    <t>Sheet guide</t>
  </si>
  <si>
    <t>Setup</t>
  </si>
  <si>
    <t>Clinic details, opening cash, buffer, scenarios, billings, payer mix and variable costs.</t>
  </si>
  <si>
    <t>Opening Items</t>
  </si>
  <si>
    <t>Money already owed to you and by you at the start, plus any one-off receipts.</t>
  </si>
  <si>
    <t>Revenue</t>
  </si>
  <si>
    <t>Turns billings into cash collected, using each payer's delay and denial rate. One input row: seasonality.</t>
  </si>
  <si>
    <t>Payments</t>
  </si>
  <si>
    <t>Your schedule of payments. Works out which week each one falls in.</t>
  </si>
  <si>
    <t>Forecast</t>
  </si>
  <si>
    <t>The 13 week cash flow: receipts, payments, net cash flow, closing cash, buffer and status.</t>
  </si>
  <si>
    <t>Dashboard</t>
  </si>
  <si>
    <t>Headline numbers, plain language alerts, three charts and model checks.</t>
  </si>
  <si>
    <t>Good to know</t>
  </si>
  <si>
    <t>This is a cash view, not a profit view. Enter billings and payments on the basis that money actually moves, including VAT where it applies.</t>
  </si>
  <si>
    <t>Claims you expect to be denied are treated as not collected within the 13 weeks. Anything you later recover shows up as a receipt on Opening Items.</t>
  </si>
  <si>
    <t>The example figures are illustrative for a mid sized clinic. Replace every yellow cell with your own numbers before relying on the result.</t>
  </si>
  <si>
    <t>To roll the forecast forward each week: move the start date on Setup to the new Monday, replace opening cash with the actual bank balance, refresh Opening Items and update the payer delays if they have changed.</t>
  </si>
  <si>
    <t>About OzaniX Partners</t>
  </si>
  <si>
    <t>OzaniX Partners is a healthcare business advisory and managed services firm working with clinics and hospital groups across the UAE and GCC, across finance, operations, technology, HR, insurance and regulatory affairs. If you would like help building, reviewing or presenting your cash forecast, we are glad to help.</t>
  </si>
  <si>
    <t>Book a discovery call: ozanixpartners.com</t>
  </si>
  <si>
    <t>Version 1.0, September 2026. Prepared by OzaniX Partners. This workbook is general guidance and not financial, tax or legal advice. Check your assumptions with your finance team or advisor.</t>
  </si>
</sst>
</file>

<file path=xl/styles.xml><?xml version="1.0" encoding="utf-8"?>
<styleSheet xmlns="http://schemas.openxmlformats.org/spreadsheetml/2006/main">
  <numFmts count="7">
    <numFmt numFmtId="164" formatCode="dd-mmm-yy"/>
    <numFmt numFmtId="165" formatCode="#,##0;(#,##0);&quot;-&quot;"/>
    <numFmt numFmtId="166" formatCode="0.0%;(0.0%);&quot;-&quot;"/>
    <numFmt numFmtId="167" formatCode="0.0%"/>
    <numFmt numFmtId="168" formatCode="0%"/>
    <numFmt numFmtId="169" formatCode="0.0"/>
    <numFmt numFmtId="170" formatCode="&quot;Week &quot;0"/>
  </numFmts>
  <fonts count="22">
    <font>
      <sz val="11"/>
      <color theme="1"/>
      <name val="Calibri"/>
      <family val="2"/>
      <scheme val="minor"/>
    </font>
    <font>
      <sz val="10"/>
      <color theme="1"/>
      <name val="Arial"/>
      <family val="2"/>
    </font>
    <font>
      <b/>
      <sz val="22"/>
      <color rgb="FFFFFFFF"/>
      <name val="Arial"/>
      <family val="2"/>
    </font>
    <font>
      <i/>
      <sz val="11"/>
      <color rgb="FFFFFFFF"/>
      <name val="Arial"/>
      <family val="2"/>
    </font>
    <font>
      <b/>
      <sz val="12"/>
      <color rgb="FFFFFFFF"/>
      <name val="Arial"/>
      <family val="2"/>
    </font>
    <font>
      <b/>
      <sz val="10"/>
      <color rgb="FF1B3464"/>
      <name val="Arial"/>
      <family val="2"/>
    </font>
    <font>
      <sz val="10"/>
      <color rgb="FF0000FF"/>
      <name val="Arial"/>
      <family val="2"/>
    </font>
    <font>
      <sz val="10"/>
      <color rgb="FF007A33"/>
      <name val="Arial"/>
      <family val="2"/>
    </font>
    <font>
      <b/>
      <u/>
      <sz val="10"/>
      <color rgb="FF1572B6"/>
      <name val="Arial"/>
      <family val="2"/>
    </font>
    <font>
      <i/>
      <sz val="8"/>
      <color rgb="FF5A6B85"/>
      <name val="Arial"/>
      <family val="2"/>
    </font>
    <font>
      <b/>
      <sz val="18"/>
      <color rgb="FFFFFFFF"/>
      <name val="Arial"/>
      <family val="2"/>
    </font>
    <font>
      <i/>
      <sz val="10"/>
      <color rgb="FFFFFFFF"/>
      <name val="Arial"/>
      <family val="2"/>
    </font>
    <font>
      <i/>
      <sz val="10"/>
      <color rgb="FF5A6B85"/>
      <name val="Arial"/>
      <family val="2"/>
    </font>
    <font>
      <b/>
      <sz val="10"/>
      <color rgb="FFFFFFFF"/>
      <name val="Arial"/>
      <family val="2"/>
    </font>
    <font>
      <b/>
      <sz val="10"/>
      <color theme="1"/>
      <name val="Arial"/>
      <family val="2"/>
    </font>
    <font>
      <b/>
      <sz val="10"/>
      <color rgb="FF007A33"/>
      <name val="Arial"/>
      <family val="2"/>
    </font>
    <font>
      <sz val="10"/>
      <color rgb="FF5A6B85"/>
      <name val="Arial"/>
      <family val="2"/>
    </font>
    <font>
      <b/>
      <sz val="11"/>
      <color theme="1"/>
      <name val="Arial"/>
      <family val="2"/>
    </font>
    <font>
      <b/>
      <sz val="8"/>
      <color theme="1"/>
      <name val="Arial"/>
      <family val="2"/>
    </font>
    <font>
      <sz val="10"/>
      <color rgb="FF8896AB"/>
      <name val="Arial"/>
      <family val="2"/>
    </font>
    <font>
      <b/>
      <sz val="9"/>
      <color rgb="FFFFFFFF"/>
      <name val="Arial"/>
      <family val="2"/>
    </font>
    <font>
      <b/>
      <sz val="16"/>
      <color rgb="FF1B3464"/>
      <name val="Arial"/>
      <family val="2"/>
    </font>
  </fonts>
  <fills count="8">
    <fill>
      <patternFill patternType="none"/>
    </fill>
    <fill>
      <patternFill patternType="gray125"/>
    </fill>
    <fill>
      <patternFill patternType="solid">
        <fgColor rgb="FFFFFFFF"/>
        <bgColor indexed="64"/>
      </patternFill>
    </fill>
    <fill>
      <patternFill patternType="solid">
        <fgColor rgb="FF1B3464"/>
        <bgColor indexed="64"/>
      </patternFill>
    </fill>
    <fill>
      <patternFill patternType="solid">
        <fgColor rgb="FF1572B6"/>
        <bgColor indexed="64"/>
      </patternFill>
    </fill>
    <fill>
      <patternFill patternType="solid">
        <fgColor rgb="FFFFF8DC"/>
        <bgColor indexed="64"/>
      </patternFill>
    </fill>
    <fill>
      <patternFill patternType="solid">
        <fgColor rgb="FFEAF2FA"/>
        <bgColor indexed="64"/>
      </patternFill>
    </fill>
    <fill>
      <patternFill patternType="solid">
        <fgColor rgb="FFF3F5F8"/>
        <bgColor indexed="64"/>
      </patternFill>
    </fill>
  </fills>
  <borders count="4">
    <border>
      <left/>
      <right/>
      <top/>
      <bottom/>
      <diagonal/>
    </border>
    <border>
      <left style="thin">
        <color rgb="FFD9C98A"/>
      </left>
      <right style="thin">
        <color rgb="FFD9C98A"/>
      </right>
      <top style="thin">
        <color rgb="FFD9C98A"/>
      </top>
      <bottom style="thin">
        <color rgb="FFD9C98A"/>
      </bottom>
      <diagonal/>
    </border>
    <border>
      <left style="thin">
        <color rgb="FFB8C9DC"/>
      </left>
      <right style="thin">
        <color rgb="FFB8C9DC"/>
      </right>
      <top style="thin">
        <color rgb="FFB8C9DC"/>
      </top>
      <bottom style="thin">
        <color rgb="FFB8C9DC"/>
      </bottom>
      <diagonal/>
    </border>
    <border>
      <left/>
      <right/>
      <top style="thin">
        <color auto="1"/>
      </top>
      <bottom style="thin">
        <color auto="1"/>
      </bottom>
      <diagonal/>
    </border>
  </borders>
  <cellStyleXfs count="1">
    <xf numFmtId="0" fontId="0" fillId="0" borderId="0"/>
  </cellStyleXfs>
  <cellXfs count="56">
    <xf numFmtId="0" fontId="0" fillId="0" borderId="0" xfId="0"/>
    <xf numFmtId="0" fontId="1" fillId="2"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0" fontId="4" fillId="4" borderId="0" xfId="0" applyFont="1" applyFill="1" applyAlignment="1">
      <alignment vertical="center"/>
    </xf>
    <xf numFmtId="0" fontId="1" fillId="0" borderId="0" xfId="0" applyFont="1" applyAlignment="1">
      <alignment vertical="top" wrapText="1"/>
    </xf>
    <xf numFmtId="0" fontId="5" fillId="0" borderId="0" xfId="0" applyFont="1" applyAlignment="1">
      <alignment vertical="top" wrapText="1"/>
    </xf>
    <xf numFmtId="0" fontId="6" fillId="5" borderId="1" xfId="0" applyFont="1" applyFill="1" applyBorder="1" applyAlignment="1">
      <alignment vertical="center"/>
    </xf>
    <xf numFmtId="0" fontId="1"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top" wrapText="1"/>
    </xf>
    <xf numFmtId="0" fontId="10" fillId="3" borderId="0" xfId="0" applyFont="1" applyFill="1" applyAlignment="1">
      <alignment vertical="center"/>
    </xf>
    <xf numFmtId="0" fontId="11" fillId="3" borderId="0" xfId="0" applyFont="1" applyFill="1" applyAlignment="1">
      <alignment vertical="center"/>
    </xf>
    <xf numFmtId="0" fontId="12" fillId="0" borderId="0" xfId="0" applyFont="1" applyAlignment="1">
      <alignment vertical="center"/>
    </xf>
    <xf numFmtId="0" fontId="13" fillId="4" borderId="0" xfId="0" applyFont="1" applyFill="1" applyAlignment="1">
      <alignment vertical="center"/>
    </xf>
    <xf numFmtId="0" fontId="12" fillId="0" borderId="0" xfId="0" applyFont="1" applyAlignment="1">
      <alignment vertical="top" wrapText="1"/>
    </xf>
    <xf numFmtId="164" fontId="6" fillId="5" borderId="1" xfId="0" applyNumberFormat="1" applyFont="1" applyFill="1" applyBorder="1" applyAlignment="1">
      <alignment horizontal="center" vertical="center"/>
    </xf>
    <xf numFmtId="165" fontId="6" fillId="5" borderId="1" xfId="0" applyNumberFormat="1" applyFont="1" applyFill="1" applyBorder="1" applyAlignment="1">
      <alignment vertical="center"/>
    </xf>
    <xf numFmtId="165" fontId="1" fillId="0" borderId="0" xfId="0" applyNumberFormat="1" applyFont="1" applyAlignment="1">
      <alignment vertical="center"/>
    </xf>
    <xf numFmtId="0" fontId="14" fillId="0" borderId="0" xfId="0" applyFont="1" applyAlignment="1">
      <alignment vertical="center"/>
    </xf>
    <xf numFmtId="0" fontId="5" fillId="6" borderId="2" xfId="0" applyFont="1" applyFill="1" applyBorder="1" applyAlignment="1">
      <alignment vertical="center" wrapText="1"/>
    </xf>
    <xf numFmtId="0" fontId="5" fillId="6" borderId="2" xfId="0" applyFont="1" applyFill="1" applyBorder="1" applyAlignment="1">
      <alignment horizontal="center" vertical="center" wrapText="1"/>
    </xf>
    <xf numFmtId="166" fontId="6" fillId="5" borderId="1" xfId="0" applyNumberFormat="1" applyFont="1" applyFill="1" applyBorder="1" applyAlignment="1">
      <alignment vertical="center"/>
    </xf>
    <xf numFmtId="166" fontId="14" fillId="7" borderId="0" xfId="0" applyNumberFormat="1" applyFont="1" applyFill="1" applyAlignment="1">
      <alignment horizontal="center" vertical="center"/>
    </xf>
    <xf numFmtId="1" fontId="6" fillId="5" borderId="1" xfId="0" applyNumberFormat="1" applyFont="1" applyFill="1" applyBorder="1" applyAlignment="1">
      <alignment horizontal="center" vertical="center"/>
    </xf>
    <xf numFmtId="1" fontId="14" fillId="7" borderId="0" xfId="0" applyNumberFormat="1" applyFont="1" applyFill="1" applyAlignment="1">
      <alignment horizontal="center" vertical="center"/>
    </xf>
    <xf numFmtId="1" fontId="1" fillId="0" borderId="0" xfId="0" applyNumberFormat="1" applyFont="1" applyAlignment="1">
      <alignment horizontal="center" vertical="center"/>
    </xf>
    <xf numFmtId="166" fontId="1" fillId="0" borderId="0" xfId="0" applyNumberFormat="1" applyFont="1" applyAlignment="1">
      <alignment vertical="center"/>
    </xf>
    <xf numFmtId="0" fontId="14" fillId="7" borderId="3" xfId="0" applyFont="1" applyFill="1" applyBorder="1" applyAlignment="1">
      <alignment vertical="center"/>
    </xf>
    <xf numFmtId="167" fontId="14" fillId="7" borderId="3" xfId="0" applyNumberFormat="1" applyFont="1" applyFill="1" applyBorder="1" applyAlignment="1">
      <alignment vertical="center"/>
    </xf>
    <xf numFmtId="0" fontId="5" fillId="0" borderId="0" xfId="0" applyFont="1" applyAlignment="1">
      <alignment vertical="center"/>
    </xf>
    <xf numFmtId="0" fontId="13" fillId="3" borderId="0" xfId="0" applyFont="1" applyFill="1" applyAlignment="1">
      <alignment vertical="center"/>
    </xf>
    <xf numFmtId="1" fontId="13" fillId="3" borderId="0" xfId="0" applyNumberFormat="1" applyFont="1" applyFill="1" applyAlignment="1">
      <alignment horizontal="center" vertical="center"/>
    </xf>
    <xf numFmtId="164" fontId="15" fillId="6" borderId="2" xfId="0" applyNumberFormat="1" applyFont="1" applyFill="1" applyBorder="1" applyAlignment="1">
      <alignment horizontal="center" vertical="center"/>
    </xf>
    <xf numFmtId="164" fontId="5" fillId="6" borderId="2" xfId="0" applyNumberFormat="1" applyFont="1" applyFill="1" applyBorder="1" applyAlignment="1">
      <alignment horizontal="center" vertical="center"/>
    </xf>
    <xf numFmtId="165" fontId="14" fillId="7" borderId="3" xfId="0" applyNumberFormat="1" applyFont="1" applyFill="1" applyBorder="1" applyAlignment="1">
      <alignment vertical="center"/>
    </xf>
    <xf numFmtId="168" fontId="6" fillId="5" borderId="1" xfId="0" applyNumberFormat="1" applyFont="1" applyFill="1" applyBorder="1" applyAlignment="1">
      <alignment horizontal="center" vertical="center"/>
    </xf>
    <xf numFmtId="0" fontId="5" fillId="0" borderId="0" xfId="0" applyFont="1" applyAlignment="1">
      <alignment horizontal="center" vertical="center"/>
    </xf>
    <xf numFmtId="166" fontId="7" fillId="0" borderId="0" xfId="0" applyNumberFormat="1" applyFont="1" applyAlignment="1">
      <alignment vertical="center"/>
    </xf>
    <xf numFmtId="1" fontId="7" fillId="0" borderId="0" xfId="0" applyNumberFormat="1" applyFont="1" applyAlignment="1">
      <alignment horizontal="center" vertical="center"/>
    </xf>
    <xf numFmtId="165" fontId="7" fillId="0" borderId="0" xfId="0" applyNumberFormat="1" applyFont="1" applyAlignment="1">
      <alignment vertical="center"/>
    </xf>
    <xf numFmtId="0" fontId="16" fillId="0" borderId="0" xfId="0" applyFont="1" applyAlignment="1">
      <alignment horizontal="center" vertical="center"/>
    </xf>
    <xf numFmtId="165" fontId="13" fillId="3" borderId="0" xfId="0" applyNumberFormat="1" applyFont="1" applyFill="1" applyAlignment="1">
      <alignment vertical="center"/>
    </xf>
    <xf numFmtId="0" fontId="17" fillId="0" borderId="0" xfId="0" applyFont="1" applyAlignment="1">
      <alignment vertical="center"/>
    </xf>
    <xf numFmtId="165" fontId="17" fillId="0" borderId="0" xfId="0" applyNumberFormat="1" applyFont="1" applyAlignment="1">
      <alignment vertical="center"/>
    </xf>
    <xf numFmtId="165" fontId="14" fillId="0" borderId="0" xfId="0" applyNumberFormat="1" applyFont="1" applyAlignment="1">
      <alignment vertical="center"/>
    </xf>
    <xf numFmtId="0" fontId="18" fillId="0" borderId="0" xfId="0" applyFont="1" applyAlignment="1">
      <alignment horizontal="center" vertical="center"/>
    </xf>
    <xf numFmtId="169" fontId="1" fillId="0" borderId="0" xfId="0" applyNumberFormat="1" applyFont="1" applyAlignment="1">
      <alignment horizontal="center" vertical="center"/>
    </xf>
    <xf numFmtId="0" fontId="19" fillId="0" borderId="0" xfId="0" applyFont="1" applyAlignment="1">
      <alignment horizontal="center" vertical="center"/>
    </xf>
    <xf numFmtId="0" fontId="20" fillId="4" borderId="0" xfId="0" applyFont="1" applyFill="1" applyAlignment="1">
      <alignment horizontal="center" vertical="center"/>
    </xf>
    <xf numFmtId="165" fontId="21" fillId="6" borderId="2" xfId="0" applyNumberFormat="1" applyFont="1" applyFill="1" applyBorder="1" applyAlignment="1">
      <alignment horizontal="center" vertical="center"/>
    </xf>
    <xf numFmtId="170" fontId="21" fillId="6" borderId="2" xfId="0" applyNumberFormat="1" applyFont="1" applyFill="1" applyBorder="1" applyAlignment="1">
      <alignment horizontal="center" vertical="center"/>
    </xf>
    <xf numFmtId="1" fontId="21" fillId="6" borderId="2" xfId="0" applyNumberFormat="1" applyFont="1" applyFill="1" applyBorder="1" applyAlignment="1">
      <alignment horizontal="center" vertical="center"/>
    </xf>
    <xf numFmtId="169" fontId="21" fillId="6" borderId="2" xfId="0" applyNumberFormat="1" applyFont="1" applyFill="1" applyBorder="1" applyAlignment="1">
      <alignment horizontal="center" vertical="center"/>
    </xf>
    <xf numFmtId="0" fontId="14" fillId="0" borderId="0" xfId="0" applyFont="1" applyAlignment="1">
      <alignment horizontal="center" vertical="center"/>
    </xf>
  </cellXfs>
  <cellStyles count="1">
    <cellStyle name="Normal" xfId="0" builtinId="0"/>
  </cellStyles>
  <dxfs count="5">
    <dxf>
      <font>
        <b/>
        <color rgb="FFC00000"/>
      </font>
    </dxf>
    <dxf>
      <font>
        <b/>
        <color rgb="FF1E6B3A"/>
      </font>
      <fill>
        <patternFill>
          <bgColor rgb="FFDDF3E4"/>
        </patternFill>
      </fill>
    </dxf>
    <dxf>
      <font>
        <b/>
        <color rgb="FF7A5A00"/>
      </font>
      <fill>
        <patternFill>
          <bgColor rgb="FFFFF0C2"/>
        </patternFill>
      </fill>
    </dxf>
    <dxf>
      <font>
        <b/>
        <color rgb="FF8B0000"/>
      </font>
      <fill>
        <patternFill>
          <bgColor rgb="FFF8D7DA"/>
        </patternFill>
      </fill>
    </dxf>
    <dxf>
      <font>
        <b/>
        <color rgb="FFFFFFFF"/>
      </font>
      <fill>
        <patternFill>
          <bgColor rgb="FFC0504D"/>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B3464"/>
                </a:solidFill>
                <a:latin typeface="Arial"/>
              </a:defRPr>
            </a:pPr>
            <a:r>
              <a:rPr lang="en-US" sz="1100" b="1" baseline="0">
                <a:solidFill>
                  <a:srgbClr val="1B3464"/>
                </a:solidFill>
                <a:latin typeface="Arial"/>
              </a:rPr>
              <a:t>Closing cash against your minimum buffer</a:t>
            </a:r>
          </a:p>
        </c:rich>
      </c:tx>
      <c:layout/>
    </c:title>
    <c:plotArea>
      <c:layout/>
      <c:lineChart>
        <c:grouping val="standard"/>
        <c:ser>
          <c:idx val="0"/>
          <c:order val="0"/>
          <c:tx>
            <c:v>Closing cash</c:v>
          </c:tx>
          <c:spPr>
            <a:ln w="34925">
              <a:solidFill>
                <a:srgbClr val="1B3464"/>
              </a:solidFill>
            </a:ln>
          </c:spPr>
          <c:marker>
            <c:symbol val="circle"/>
            <c:size val="6"/>
            <c:spPr>
              <a:solidFill>
                <a:srgbClr val="1B3464"/>
              </a:solidFill>
              <a:ln>
                <a:solidFill>
                  <a:srgbClr val="1B3464"/>
                </a:solidFill>
              </a:ln>
            </c:spPr>
          </c:marker>
          <c:cat>
            <c:numRef>
              <c:f>Forecast!$D$4:$P$4</c:f>
              <c:numCache>
                <c:formatCode>General</c:formatCode>
                <c:ptCount val="13"/>
                <c:pt idx="0">
                  <c:v>1</c:v>
                </c:pt>
                <c:pt idx="1">
                  <c:v>2</c:v>
                </c:pt>
                <c:pt idx="2">
                  <c:v>3</c:v>
                </c:pt>
                <c:pt idx="3">
                  <c:v>4</c:v>
                </c:pt>
                <c:pt idx="4">
                  <c:v>5</c:v>
                </c:pt>
                <c:pt idx="5">
                  <c:v>6</c:v>
                </c:pt>
                <c:pt idx="6">
                  <c:v>7</c:v>
                </c:pt>
                <c:pt idx="7">
                  <c:v>8</c:v>
                </c:pt>
                <c:pt idx="8">
                  <c:v>9</c:v>
                </c:pt>
                <c:pt idx="9">
                  <c:v>10</c:v>
                </c:pt>
                <c:pt idx="10">
                  <c:v>11</c:v>
                </c:pt>
                <c:pt idx="11">
                  <c:v>12</c:v>
                </c:pt>
                <c:pt idx="12">
                  <c:v>13</c:v>
                </c:pt>
              </c:numCache>
            </c:numRef>
          </c:cat>
          <c:val>
            <c:numRef>
              <c:f>Forecast!$D$43:$P$43</c:f>
              <c:numCache>
                <c:formatCode>General</c:formatCode>
                <c:ptCount val="13"/>
                <c:pt idx="0">
                  <c:v>348000</c:v>
                </c:pt>
                <c:pt idx="1">
                  <c:v>412900</c:v>
                </c:pt>
                <c:pt idx="2">
                  <c:v>575202</c:v>
                </c:pt>
                <c:pt idx="3">
                  <c:v>377588.01</c:v>
                </c:pt>
                <c:pt idx="4">
                  <c:v>492818.4500499999</c:v>
                </c:pt>
                <c:pt idx="5">
                  <c:v>496002.5423002499</c:v>
                </c:pt>
                <c:pt idx="6">
                  <c:v>515380.0550117511</c:v>
                </c:pt>
                <c:pt idx="7">
                  <c:v>413161.9552868099</c:v>
                </c:pt>
                <c:pt idx="8">
                  <c:v>571350.265063244</c:v>
                </c:pt>
                <c:pt idx="9">
                  <c:v>627827.0163885602</c:v>
                </c:pt>
                <c:pt idx="10">
                  <c:v>787208.651470503</c:v>
                </c:pt>
                <c:pt idx="11">
                  <c:v>960047.5280662475</c:v>
                </c:pt>
                <c:pt idx="12">
                  <c:v>843484.0990449707</c:v>
                </c:pt>
              </c:numCache>
            </c:numRef>
          </c:val>
        </c:ser>
        <c:ser>
          <c:idx val="1"/>
          <c:order val="1"/>
          <c:tx>
            <c:v>Minimum buffer</c:v>
          </c:tx>
          <c:spPr>
            <a:ln w="25400">
              <a:solidFill>
                <a:srgbClr val="C0504D"/>
              </a:solidFill>
              <a:prstDash val="dash"/>
            </a:ln>
          </c:spPr>
          <c:marker>
            <c:symbol val="none"/>
          </c:marker>
          <c:cat>
            <c:numRef>
              <c:f>Forecast!$D$4:$P$4</c:f>
              <c:numCache>
                <c:formatCode>General</c:formatCode>
                <c:ptCount val="13"/>
                <c:pt idx="0">
                  <c:v>1</c:v>
                </c:pt>
                <c:pt idx="1">
                  <c:v>2</c:v>
                </c:pt>
                <c:pt idx="2">
                  <c:v>3</c:v>
                </c:pt>
                <c:pt idx="3">
                  <c:v>4</c:v>
                </c:pt>
                <c:pt idx="4">
                  <c:v>5</c:v>
                </c:pt>
                <c:pt idx="5">
                  <c:v>6</c:v>
                </c:pt>
                <c:pt idx="6">
                  <c:v>7</c:v>
                </c:pt>
                <c:pt idx="7">
                  <c:v>8</c:v>
                </c:pt>
                <c:pt idx="8">
                  <c:v>9</c:v>
                </c:pt>
                <c:pt idx="9">
                  <c:v>10</c:v>
                </c:pt>
                <c:pt idx="10">
                  <c:v>11</c:v>
                </c:pt>
                <c:pt idx="11">
                  <c:v>12</c:v>
                </c:pt>
                <c:pt idx="12">
                  <c:v>13</c:v>
                </c:pt>
              </c:numCache>
            </c:numRef>
          </c:cat>
          <c:val>
            <c:numRef>
              <c:f>Forecast!$D$45:$P$45</c:f>
              <c:numCache>
                <c:formatCode>General</c:formatCode>
                <c:ptCount val="13"/>
                <c:pt idx="0">
                  <c:v>400000</c:v>
                </c:pt>
                <c:pt idx="1">
                  <c:v>400000</c:v>
                </c:pt>
                <c:pt idx="2">
                  <c:v>400000</c:v>
                </c:pt>
                <c:pt idx="3">
                  <c:v>400000</c:v>
                </c:pt>
                <c:pt idx="4">
                  <c:v>400000</c:v>
                </c:pt>
                <c:pt idx="5">
                  <c:v>400000</c:v>
                </c:pt>
                <c:pt idx="6">
                  <c:v>400000</c:v>
                </c:pt>
                <c:pt idx="7">
                  <c:v>400000</c:v>
                </c:pt>
                <c:pt idx="8">
                  <c:v>400000</c:v>
                </c:pt>
                <c:pt idx="9">
                  <c:v>400000</c:v>
                </c:pt>
                <c:pt idx="10">
                  <c:v>400000</c:v>
                </c:pt>
                <c:pt idx="11">
                  <c:v>400000</c:v>
                </c:pt>
                <c:pt idx="12">
                  <c:v>400000</c:v>
                </c:pt>
              </c:numCache>
            </c:numRef>
          </c:val>
        </c:ser>
        <c:marker val="1"/>
        <c:axId val="50010001"/>
        <c:axId val="50010002"/>
      </c:lineChart>
      <c:catAx>
        <c:axId val="50010001"/>
        <c:scaling>
          <c:orientation val="minMax"/>
        </c:scaling>
        <c:axPos val="b"/>
        <c:title>
          <c:tx>
            <c:rich>
              <a:bodyPr/>
              <a:lstStyle/>
              <a:p>
                <a:pPr>
                  <a:defRPr sz="900" baseline="0">
                    <a:latin typeface="Arial"/>
                  </a:defRPr>
                </a:pPr>
                <a:r>
                  <a:rPr lang="en-US" sz="900" baseline="0">
                    <a:latin typeface="Arial"/>
                  </a:rPr>
                  <a:t>Week</a:t>
                </a:r>
              </a:p>
            </c:rich>
          </c:tx>
          <c:layout/>
        </c:title>
        <c:numFmt formatCode="General" sourceLinked="1"/>
        <c:tickLblPos val="nextTo"/>
        <c:txPr>
          <a:bodyPr/>
          <a:lstStyle/>
          <a:p>
            <a:pPr>
              <a:defRPr sz="900" baseline="0">
                <a:latin typeface="Arial"/>
              </a:defRPr>
            </a:pPr>
            <a:endParaRPr lang="en-US"/>
          </a:p>
        </c:txPr>
        <c:crossAx val="50010002"/>
        <c:crosses val="autoZero"/>
        <c:auto val="1"/>
        <c:lblAlgn val="ctr"/>
        <c:lblOffset val="100"/>
      </c:catAx>
      <c:valAx>
        <c:axId val="50010002"/>
        <c:scaling>
          <c:orientation val="minMax"/>
        </c:scaling>
        <c:axPos val="l"/>
        <c:majorGridlines>
          <c:spPr>
            <a:ln>
              <a:solidFill>
                <a:srgbClr val="E1E7EF"/>
              </a:solidFill>
            </a:ln>
          </c:spPr>
        </c:majorGridlines>
        <c:numFmt formatCode="#,##0" sourceLinked="0"/>
        <c:tickLblPos val="nextTo"/>
        <c:txPr>
          <a:bodyPr/>
          <a:lstStyle/>
          <a:p>
            <a:pPr>
              <a:defRPr sz="900" baseline="0">
                <a:latin typeface="Arial"/>
              </a:defRPr>
            </a:pPr>
            <a:endParaRPr lang="en-US"/>
          </a:p>
        </c:txPr>
        <c:crossAx val="50010001"/>
        <c:crosses val="autoZero"/>
        <c:crossBetween val="between"/>
      </c:valAx>
    </c:plotArea>
    <c:legend>
      <c:legendPos val="b"/>
      <c:layout/>
      <c:txPr>
        <a:bodyPr/>
        <a:lstStyle/>
        <a:p>
          <a:pPr>
            <a:defRPr sz="900" baseline="0">
              <a:latin typeface="Arial"/>
            </a:defRPr>
          </a:pPr>
          <a:endParaRPr lang="en-US"/>
        </a:p>
      </c:txPr>
    </c:legend>
    <c:plotVisOnly val="1"/>
  </c:chart>
  <c:spPr>
    <a:ln>
      <a:solidFill>
        <a:srgbClr val="B8C9DC"/>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B3464"/>
                </a:solidFill>
                <a:latin typeface="Arial"/>
              </a:defRPr>
            </a:pPr>
            <a:r>
              <a:rPr lang="en-US" sz="1100" b="1" baseline="0">
                <a:solidFill>
                  <a:srgbClr val="1B3464"/>
                </a:solidFill>
                <a:latin typeface="Arial"/>
              </a:rPr>
              <a:t>Cash receipts and payments by week</a:t>
            </a:r>
          </a:p>
        </c:rich>
      </c:tx>
      <c:layout/>
    </c:title>
    <c:plotArea>
      <c:layout/>
      <c:barChart>
        <c:barDir val="col"/>
        <c:grouping val="clustered"/>
        <c:ser>
          <c:idx val="0"/>
          <c:order val="0"/>
          <c:tx>
            <c:v>Cash receipts</c:v>
          </c:tx>
          <c:spPr>
            <a:solidFill>
              <a:srgbClr val="1572B6"/>
            </a:solidFill>
          </c:spPr>
          <c:cat>
            <c:numRef>
              <c:f>Forecast!$D$4:$P$4</c:f>
              <c:numCache>
                <c:formatCode>General</c:formatCode>
                <c:ptCount val="13"/>
                <c:pt idx="0">
                  <c:v>1</c:v>
                </c:pt>
                <c:pt idx="1">
                  <c:v>2</c:v>
                </c:pt>
                <c:pt idx="2">
                  <c:v>3</c:v>
                </c:pt>
                <c:pt idx="3">
                  <c:v>4</c:v>
                </c:pt>
                <c:pt idx="4">
                  <c:v>5</c:v>
                </c:pt>
                <c:pt idx="5">
                  <c:v>6</c:v>
                </c:pt>
                <c:pt idx="6">
                  <c:v>7</c:v>
                </c:pt>
                <c:pt idx="7">
                  <c:v>8</c:v>
                </c:pt>
                <c:pt idx="8">
                  <c:v>9</c:v>
                </c:pt>
                <c:pt idx="9">
                  <c:v>10</c:v>
                </c:pt>
                <c:pt idx="10">
                  <c:v>11</c:v>
                </c:pt>
                <c:pt idx="11">
                  <c:v>12</c:v>
                </c:pt>
                <c:pt idx="12">
                  <c:v>13</c:v>
                </c:pt>
              </c:numCache>
            </c:numRef>
          </c:cat>
          <c:val>
            <c:numRef>
              <c:f>Forecast!$D$19:$P$19</c:f>
              <c:numCache>
                <c:formatCode>General</c:formatCode>
                <c:ptCount val="13"/>
                <c:pt idx="0">
                  <c:v>306000</c:v>
                </c:pt>
                <c:pt idx="1">
                  <c:v>306400</c:v>
                </c:pt>
                <c:pt idx="2">
                  <c:v>306802</c:v>
                </c:pt>
                <c:pt idx="3">
                  <c:v>307206.01</c:v>
                </c:pt>
                <c:pt idx="4">
                  <c:v>307972.04005</c:v>
                </c:pt>
                <c:pt idx="5">
                  <c:v>308536.9002502499</c:v>
                </c:pt>
                <c:pt idx="6">
                  <c:v>308344.5847515012</c:v>
                </c:pt>
                <c:pt idx="7">
                  <c:v>309366.3076752587</c:v>
                </c:pt>
                <c:pt idx="8">
                  <c:v>335393.139213635</c:v>
                </c:pt>
                <c:pt idx="9">
                  <c:v>312305.1049097031</c:v>
                </c:pt>
                <c:pt idx="10">
                  <c:v>313636.6304342516</c:v>
                </c:pt>
                <c:pt idx="11">
                  <c:v>306123.6469248148</c:v>
                </c:pt>
                <c:pt idx="12">
                  <c:v>307654.2651594389</c:v>
                </c:pt>
              </c:numCache>
            </c:numRef>
          </c:val>
        </c:ser>
        <c:ser>
          <c:idx val="1"/>
          <c:order val="1"/>
          <c:tx>
            <c:v>Cash payments</c:v>
          </c:tx>
          <c:spPr>
            <a:solidFill>
              <a:srgbClr val="C4A466"/>
            </a:solidFill>
          </c:spPr>
          <c:cat>
            <c:numRef>
              <c:f>Forecast!$D$4:$P$4</c:f>
              <c:numCache>
                <c:formatCode>General</c:formatCode>
                <c:ptCount val="13"/>
                <c:pt idx="0">
                  <c:v>1</c:v>
                </c:pt>
                <c:pt idx="1">
                  <c:v>2</c:v>
                </c:pt>
                <c:pt idx="2">
                  <c:v>3</c:v>
                </c:pt>
                <c:pt idx="3">
                  <c:v>4</c:v>
                </c:pt>
                <c:pt idx="4">
                  <c:v>5</c:v>
                </c:pt>
                <c:pt idx="5">
                  <c:v>6</c:v>
                </c:pt>
                <c:pt idx="6">
                  <c:v>7</c:v>
                </c:pt>
                <c:pt idx="7">
                  <c:v>8</c:v>
                </c:pt>
                <c:pt idx="8">
                  <c:v>9</c:v>
                </c:pt>
                <c:pt idx="9">
                  <c:v>10</c:v>
                </c:pt>
                <c:pt idx="10">
                  <c:v>11</c:v>
                </c:pt>
                <c:pt idx="11">
                  <c:v>12</c:v>
                </c:pt>
                <c:pt idx="12">
                  <c:v>13</c:v>
                </c:pt>
              </c:numCache>
            </c:numRef>
          </c:cat>
          <c:val>
            <c:numRef>
              <c:f>Forecast!$D$40:$P$40</c:f>
              <c:numCache>
                <c:formatCode>General</c:formatCode>
                <c:ptCount val="13"/>
                <c:pt idx="0">
                  <c:v>408000</c:v>
                </c:pt>
                <c:pt idx="1">
                  <c:v>241500</c:v>
                </c:pt>
                <c:pt idx="2">
                  <c:v>144500</c:v>
                </c:pt>
                <c:pt idx="3">
                  <c:v>504820</c:v>
                </c:pt>
                <c:pt idx="4">
                  <c:v>192741.6</c:v>
                </c:pt>
                <c:pt idx="5">
                  <c:v>305352.808</c:v>
                </c:pt>
                <c:pt idx="6">
                  <c:v>288967.07204</c:v>
                </c:pt>
                <c:pt idx="7">
                  <c:v>411584.4074001999</c:v>
                </c:pt>
                <c:pt idx="8">
                  <c:v>177204.8294372009</c:v>
                </c:pt>
                <c:pt idx="9">
                  <c:v>255828.3535843869</c:v>
                </c:pt>
                <c:pt idx="10">
                  <c:v>154254.9953523088</c:v>
                </c:pt>
                <c:pt idx="11">
                  <c:v>133284.7703290704</c:v>
                </c:pt>
                <c:pt idx="12">
                  <c:v>424217.6941807157</c:v>
                </c:pt>
              </c:numCache>
            </c:numRef>
          </c:val>
        </c:ser>
        <c:gapWidth val="60"/>
        <c:axId val="50020001"/>
        <c:axId val="50020002"/>
      </c:barChart>
      <c:catAx>
        <c:axId val="50020001"/>
        <c:scaling>
          <c:orientation val="minMax"/>
        </c:scaling>
        <c:axPos val="b"/>
        <c:title>
          <c:tx>
            <c:rich>
              <a:bodyPr/>
              <a:lstStyle/>
              <a:p>
                <a:pPr>
                  <a:defRPr sz="900" baseline="0">
                    <a:latin typeface="Arial"/>
                  </a:defRPr>
                </a:pPr>
                <a:r>
                  <a:rPr lang="en-US" sz="900" baseline="0">
                    <a:latin typeface="Arial"/>
                  </a:rPr>
                  <a:t>Week</a:t>
                </a:r>
              </a:p>
            </c:rich>
          </c:tx>
          <c:layout/>
        </c:title>
        <c:numFmt formatCode="General" sourceLinked="1"/>
        <c:tickLblPos val="nextTo"/>
        <c:txPr>
          <a:bodyPr/>
          <a:lstStyle/>
          <a:p>
            <a:pPr>
              <a:defRPr sz="900" baseline="0">
                <a:latin typeface="Arial"/>
              </a:defRPr>
            </a:pPr>
            <a:endParaRPr lang="en-US"/>
          </a:p>
        </c:txPr>
        <c:crossAx val="50020002"/>
        <c:crosses val="autoZero"/>
        <c:auto val="1"/>
        <c:lblAlgn val="ctr"/>
        <c:lblOffset val="100"/>
      </c:catAx>
      <c:valAx>
        <c:axId val="50020002"/>
        <c:scaling>
          <c:orientation val="minMax"/>
        </c:scaling>
        <c:axPos val="l"/>
        <c:majorGridlines>
          <c:spPr>
            <a:ln>
              <a:solidFill>
                <a:srgbClr val="E1E7EF"/>
              </a:solidFill>
            </a:ln>
          </c:spPr>
        </c:majorGridlines>
        <c:numFmt formatCode="#,##0" sourceLinked="0"/>
        <c:tickLblPos val="nextTo"/>
        <c:txPr>
          <a:bodyPr/>
          <a:lstStyle/>
          <a:p>
            <a:pPr>
              <a:defRPr sz="900" baseline="0">
                <a:latin typeface="Arial"/>
              </a:defRPr>
            </a:pPr>
            <a:endParaRPr lang="en-US"/>
          </a:p>
        </c:txPr>
        <c:crossAx val="50020001"/>
        <c:crosses val="autoZero"/>
        <c:crossBetween val="between"/>
      </c:valAx>
    </c:plotArea>
    <c:legend>
      <c:legendPos val="b"/>
      <c:layout/>
      <c:txPr>
        <a:bodyPr/>
        <a:lstStyle/>
        <a:p>
          <a:pPr>
            <a:defRPr sz="900" baseline="0">
              <a:latin typeface="Arial"/>
            </a:defRPr>
          </a:pPr>
          <a:endParaRPr lang="en-US"/>
        </a:p>
      </c:txPr>
    </c:legend>
    <c:plotVisOnly val="1"/>
  </c:chart>
  <c:spPr>
    <a:ln>
      <a:solidFill>
        <a:srgbClr val="B8C9DC"/>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B3464"/>
                </a:solidFill>
                <a:latin typeface="Arial"/>
              </a:defRPr>
            </a:pPr>
            <a:r>
              <a:rPr lang="en-US" sz="1100" b="1" baseline="0">
                <a:solidFill>
                  <a:srgbClr val="1B3464"/>
                </a:solidFill>
                <a:latin typeface="Arial"/>
              </a:rPr>
              <a:t>Where the cash goes: 13 week payments by line</a:t>
            </a:r>
          </a:p>
        </c:rich>
      </c:tx>
      <c:layout/>
    </c:title>
    <c:plotArea>
      <c:layout/>
      <c:barChart>
        <c:barDir val="bar"/>
        <c:grouping val="clustered"/>
        <c:ser>
          <c:idx val="0"/>
          <c:order val="0"/>
          <c:tx>
            <c:v>13 week payments</c:v>
          </c:tx>
          <c:spPr>
            <a:solidFill>
              <a:srgbClr val="1B3464"/>
            </a:solidFill>
          </c:spPr>
          <c:dLbls>
            <c:numFmt formatCode="#,##0" sourceLinked="0"/>
            <c:txPr>
              <a:bodyPr/>
              <a:lstStyle/>
              <a:p>
                <a:pPr>
                  <a:defRPr sz="800" baseline="0">
                    <a:latin typeface="Arial"/>
                  </a:defRPr>
                </a:pPr>
                <a:endParaRPr lang="en-US"/>
              </a:p>
            </c:txPr>
            <c:showVal val="1"/>
          </c:dLbls>
          <c:cat>
            <c:strRef>
              <c:f>Forecast!$A$22:$A$39</c:f>
              <c:strCache>
                <c:ptCount val="18"/>
                <c:pt idx="0">
                  <c:v>Medical supplies and consumables</c:v>
                </c:pt>
                <c:pt idx="1">
                  <c:v>Laboratory and third party services</c:v>
                </c:pt>
                <c:pt idx="2">
                  <c:v>Doctor fee share (paid on billings)</c:v>
                </c:pt>
                <c:pt idx="3">
                  <c:v>Other variable cost (spare)</c:v>
                </c:pt>
                <c:pt idx="4">
                  <c:v>Payroll and staff costs</c:v>
                </c:pt>
                <c:pt idx="5">
                  <c:v>Clinical and locum fees</c:v>
                </c:pt>
                <c:pt idx="6">
                  <c:v>Rent and facilities</c:v>
                </c:pt>
                <c:pt idx="7">
                  <c:v>Utilities and telecoms</c:v>
                </c:pt>
                <c:pt idx="8">
                  <c:v>Insurance and indemnity</c:v>
                </c:pt>
                <c:pt idx="9">
                  <c:v>Licences and regulatory fees</c:v>
                </c:pt>
                <c:pt idx="10">
                  <c:v>IT, software and subscriptions</c:v>
                </c:pt>
                <c:pt idx="11">
                  <c:v>Marketing and advertising</c:v>
                </c:pt>
                <c:pt idx="12">
                  <c:v>Professional fees</c:v>
                </c:pt>
                <c:pt idx="13">
                  <c:v>Loan and finance repayments</c:v>
                </c:pt>
                <c:pt idx="14">
                  <c:v>VAT and taxes</c:v>
                </c:pt>
                <c:pt idx="15">
                  <c:v>Capital expenditure</c:v>
                </c:pt>
                <c:pt idx="16">
                  <c:v>Other operating costs</c:v>
                </c:pt>
                <c:pt idx="17">
                  <c:v>Payments on bills already owed at the start</c:v>
                </c:pt>
              </c:strCache>
            </c:strRef>
          </c:cat>
          <c:val>
            <c:numRef>
              <c:f>Forecast!$Q$22:$Q$39</c:f>
              <c:numCache>
                <c:formatCode>General</c:formatCode>
                <c:ptCount val="18"/>
                <c:pt idx="0">
                  <c:v>352593.2478341014</c:v>
                </c:pt>
                <c:pt idx="1">
                  <c:v>176296.6239170507</c:v>
                </c:pt>
                <c:pt idx="2">
                  <c:v>721866.6585727304</c:v>
                </c:pt>
                <c:pt idx="3">
                  <c:v>0</c:v>
                </c:pt>
                <c:pt idx="4">
                  <c:v>855000</c:v>
                </c:pt>
                <c:pt idx="5">
                  <c:v>285000</c:v>
                </c:pt>
                <c:pt idx="6">
                  <c:v>253500</c:v>
                </c:pt>
                <c:pt idx="7">
                  <c:v>77400</c:v>
                </c:pt>
                <c:pt idx="8">
                  <c:v>102000</c:v>
                </c:pt>
                <c:pt idx="9">
                  <c:v>35000</c:v>
                </c:pt>
                <c:pt idx="10">
                  <c:v>28500</c:v>
                </c:pt>
                <c:pt idx="11">
                  <c:v>45000</c:v>
                </c:pt>
                <c:pt idx="12">
                  <c:v>12000</c:v>
                </c:pt>
                <c:pt idx="13">
                  <c:v>78000</c:v>
                </c:pt>
                <c:pt idx="14">
                  <c:v>95000</c:v>
                </c:pt>
                <c:pt idx="15">
                  <c:v>120000</c:v>
                </c:pt>
                <c:pt idx="16">
                  <c:v>45100</c:v>
                </c:pt>
                <c:pt idx="17">
                  <c:v>360000</c:v>
                </c:pt>
              </c:numCache>
            </c:numRef>
          </c:val>
        </c:ser>
        <c:gapWidth val="40"/>
        <c:axId val="50030001"/>
        <c:axId val="50030002"/>
      </c:barChart>
      <c:catAx>
        <c:axId val="50030001"/>
        <c:scaling>
          <c:orientation val="maxMin"/>
        </c:scaling>
        <c:axPos val="l"/>
        <c:tickLblPos val="nextTo"/>
        <c:txPr>
          <a:bodyPr/>
          <a:lstStyle/>
          <a:p>
            <a:pPr>
              <a:defRPr sz="800" baseline="0">
                <a:latin typeface="Arial"/>
              </a:defRPr>
            </a:pPr>
            <a:endParaRPr lang="en-US"/>
          </a:p>
        </c:txPr>
        <c:crossAx val="50030002"/>
        <c:crosses val="autoZero"/>
        <c:auto val="1"/>
        <c:lblAlgn val="ctr"/>
        <c:lblOffset val="100"/>
      </c:catAx>
      <c:valAx>
        <c:axId val="50030002"/>
        <c:scaling>
          <c:orientation val="minMax"/>
        </c:scaling>
        <c:axPos val="t"/>
        <c:majorGridlines>
          <c:spPr>
            <a:ln>
              <a:solidFill>
                <a:srgbClr val="E1E7EF"/>
              </a:solidFill>
            </a:ln>
          </c:spPr>
        </c:majorGridlines>
        <c:numFmt formatCode="#,##0" sourceLinked="0"/>
        <c:tickLblPos val="nextTo"/>
        <c:txPr>
          <a:bodyPr/>
          <a:lstStyle/>
          <a:p>
            <a:pPr>
              <a:defRPr sz="800" baseline="0">
                <a:latin typeface="Arial"/>
              </a:defRPr>
            </a:pPr>
            <a:endParaRPr lang="en-US"/>
          </a:p>
        </c:txPr>
        <c:crossAx val="50030001"/>
        <c:crosses val="autoZero"/>
        <c:crossBetween val="between"/>
      </c:valAx>
    </c:plotArea>
    <c:plotVisOnly val="1"/>
  </c:chart>
  <c:spPr>
    <a:ln>
      <a:solidFill>
        <a:srgbClr val="B8C9DC"/>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1</xdr:row>
      <xdr:rowOff>76200</xdr:rowOff>
    </xdr:from>
    <xdr:to>
      <xdr:col>1</xdr:col>
      <xdr:colOff>1752600</xdr:colOff>
      <xdr:row>1</xdr:row>
      <xdr:rowOff>656654</xdr:rowOff>
    </xdr:to>
    <xdr:pic>
      <xdr:nvPicPr>
        <xdr:cNvPr id="2" name="Picture 1" descr="logo.png"/>
        <xdr:cNvPicPr>
          <a:picLocks noChangeAspect="1"/>
        </xdr:cNvPicPr>
      </xdr:nvPicPr>
      <xdr:blipFill>
        <a:blip xmlns:r="http://schemas.openxmlformats.org/officeDocument/2006/relationships" r:embed="rId1"/>
        <a:stretch>
          <a:fillRect/>
        </a:stretch>
      </xdr:blipFill>
      <xdr:spPr>
        <a:xfrm>
          <a:off x="323850" y="171450"/>
          <a:ext cx="1676400" cy="5804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14</xdr:row>
      <xdr:rowOff>0</xdr:rowOff>
    </xdr:from>
    <xdr:to>
      <xdr:col>6</xdr:col>
      <xdr:colOff>990600</xdr:colOff>
      <xdr:row>30</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76200</xdr:colOff>
      <xdr:row>14</xdr:row>
      <xdr:rowOff>0</xdr:rowOff>
    </xdr:from>
    <xdr:to>
      <xdr:col>12</xdr:col>
      <xdr:colOff>1028700</xdr:colOff>
      <xdr:row>30</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31</xdr:row>
      <xdr:rowOff>0</xdr:rowOff>
    </xdr:from>
    <xdr:to>
      <xdr:col>12</xdr:col>
      <xdr:colOff>866775</xdr:colOff>
      <xdr:row>57</xdr:row>
      <xdr:rowOff>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ozanixpartners.com/" TargetMode="External"/><Relationship Id="rId2"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1B3464"/>
    <pageSetUpPr fitToPage="1"/>
  </sheetPr>
  <dimension ref="A1:C39"/>
  <sheetViews>
    <sheetView showGridLines="0" tabSelected="1" workbookViewId="0"/>
  </sheetViews>
  <sheetFormatPr defaultRowHeight="15"/>
  <cols>
    <col min="1" max="1" width="3.7109375" customWidth="1"/>
    <col min="2" max="2" width="30.7109375" customWidth="1"/>
    <col min="3" max="3" width="82.7109375" customWidth="1"/>
    <col min="4" max="4" width="3.7109375" customWidth="1"/>
  </cols>
  <sheetData>
    <row r="1" spans="2:3" ht="8" customHeight="1"/>
    <row r="2" spans="2:3" ht="62" customHeight="1">
      <c r="B2" s="1"/>
      <c r="C2" s="1"/>
    </row>
    <row r="3" spans="2:3" ht="42" customHeight="1">
      <c r="B3" s="2" t="s">
        <v>191</v>
      </c>
      <c r="C3" s="2"/>
    </row>
    <row r="4" spans="2:3" ht="24" customHeight="1">
      <c r="B4" s="3" t="s">
        <v>192</v>
      </c>
      <c r="C4" s="3"/>
    </row>
    <row r="6" spans="2:3" ht="22" customHeight="1">
      <c r="B6" s="4" t="s">
        <v>193</v>
      </c>
      <c r="C6" s="4"/>
    </row>
    <row r="7" spans="2:3" ht="62" customHeight="1">
      <c r="B7" s="5" t="s">
        <v>194</v>
      </c>
      <c r="C7" s="5"/>
    </row>
    <row r="9" spans="2:3" ht="22" customHeight="1">
      <c r="B9" s="4" t="s">
        <v>195</v>
      </c>
      <c r="C9" s="4"/>
    </row>
    <row r="10" spans="2:3" ht="30" customHeight="1">
      <c r="B10" s="6" t="s">
        <v>196</v>
      </c>
      <c r="C10" s="5" t="s">
        <v>197</v>
      </c>
    </row>
    <row r="11" spans="2:3" ht="45" customHeight="1">
      <c r="B11" s="6" t="s">
        <v>198</v>
      </c>
      <c r="C11" s="5" t="s">
        <v>199</v>
      </c>
    </row>
    <row r="12" spans="2:3" ht="30" customHeight="1">
      <c r="B12" s="6" t="s">
        <v>200</v>
      </c>
      <c r="C12" s="5" t="s">
        <v>201</v>
      </c>
    </row>
    <row r="13" spans="2:3" ht="30" customHeight="1">
      <c r="B13" s="6" t="s">
        <v>202</v>
      </c>
      <c r="C13" s="5" t="s">
        <v>203</v>
      </c>
    </row>
    <row r="14" spans="2:3" ht="34" customHeight="1">
      <c r="B14" s="6" t="s">
        <v>204</v>
      </c>
      <c r="C14" s="5" t="s">
        <v>205</v>
      </c>
    </row>
    <row r="16" spans="2:3" ht="22" customHeight="1">
      <c r="B16" s="4" t="s">
        <v>206</v>
      </c>
      <c r="C16" s="4"/>
    </row>
    <row r="17" spans="2:3">
      <c r="B17" s="7" t="s">
        <v>207</v>
      </c>
      <c r="C17" s="5" t="s">
        <v>208</v>
      </c>
    </row>
    <row r="18" spans="2:3">
      <c r="B18" s="8" t="s">
        <v>209</v>
      </c>
      <c r="C18" s="5" t="s">
        <v>210</v>
      </c>
    </row>
    <row r="19" spans="2:3">
      <c r="B19" s="9" t="s">
        <v>211</v>
      </c>
      <c r="C19" s="5" t="s">
        <v>212</v>
      </c>
    </row>
    <row r="21" spans="2:3" ht="22" customHeight="1">
      <c r="B21" s="4" t="s">
        <v>213</v>
      </c>
      <c r="C21" s="4"/>
    </row>
    <row r="22" spans="2:3" ht="30" customHeight="1">
      <c r="B22" s="6" t="s">
        <v>214</v>
      </c>
      <c r="C22" s="5" t="s">
        <v>215</v>
      </c>
    </row>
    <row r="23" spans="2:3" ht="18" customHeight="1">
      <c r="B23" s="6" t="s">
        <v>216</v>
      </c>
      <c r="C23" s="5" t="s">
        <v>217</v>
      </c>
    </row>
    <row r="24" spans="2:3" ht="30" customHeight="1">
      <c r="B24" s="6" t="s">
        <v>218</v>
      </c>
      <c r="C24" s="5" t="s">
        <v>219</v>
      </c>
    </row>
    <row r="25" spans="2:3" ht="18" customHeight="1">
      <c r="B25" s="6" t="s">
        <v>220</v>
      </c>
      <c r="C25" s="5" t="s">
        <v>221</v>
      </c>
    </row>
    <row r="26" spans="2:3" ht="30" customHeight="1">
      <c r="B26" s="6" t="s">
        <v>222</v>
      </c>
      <c r="C26" s="5" t="s">
        <v>223</v>
      </c>
    </row>
    <row r="27" spans="2:3" ht="18" customHeight="1">
      <c r="B27" s="6" t="s">
        <v>224</v>
      </c>
      <c r="C27" s="5" t="s">
        <v>225</v>
      </c>
    </row>
    <row r="29" spans="2:3" ht="22" customHeight="1">
      <c r="B29" s="4" t="s">
        <v>226</v>
      </c>
      <c r="C29" s="4"/>
    </row>
    <row r="30" spans="2:3" ht="32" customHeight="1">
      <c r="B30" s="5" t="s">
        <v>227</v>
      </c>
      <c r="C30" s="5"/>
    </row>
    <row r="31" spans="2:3" ht="32" customHeight="1">
      <c r="B31" s="5" t="s">
        <v>228</v>
      </c>
      <c r="C31" s="5"/>
    </row>
    <row r="32" spans="2:3" ht="32" customHeight="1">
      <c r="B32" s="5" t="s">
        <v>229</v>
      </c>
      <c r="C32" s="5"/>
    </row>
    <row r="33" spans="2:3" ht="46" customHeight="1">
      <c r="B33" s="5" t="s">
        <v>230</v>
      </c>
      <c r="C33" s="5"/>
    </row>
    <row r="35" spans="2:3" ht="22" customHeight="1">
      <c r="B35" s="4" t="s">
        <v>231</v>
      </c>
      <c r="C35" s="4"/>
    </row>
    <row r="36" spans="2:3" ht="62" customHeight="1">
      <c r="B36" s="5" t="s">
        <v>232</v>
      </c>
      <c r="C36" s="5"/>
    </row>
    <row r="37" spans="2:3">
      <c r="B37" s="10" t="s">
        <v>233</v>
      </c>
      <c r="C37" s="5"/>
    </row>
    <row r="39" spans="2:3" ht="30" customHeight="1">
      <c r="B39" s="11" t="s">
        <v>234</v>
      </c>
      <c r="C39" s="11"/>
    </row>
  </sheetData>
  <mergeCells count="17">
    <mergeCell ref="B2:C2"/>
    <mergeCell ref="B3:C3"/>
    <mergeCell ref="B4:C4"/>
    <mergeCell ref="B6:C6"/>
    <mergeCell ref="B7:C7"/>
    <mergeCell ref="B9:C9"/>
    <mergeCell ref="B16:C16"/>
    <mergeCell ref="B21:C21"/>
    <mergeCell ref="B29:C29"/>
    <mergeCell ref="B30:C30"/>
    <mergeCell ref="B31:C31"/>
    <mergeCell ref="B32:C32"/>
    <mergeCell ref="B33:C33"/>
    <mergeCell ref="B35:C35"/>
    <mergeCell ref="B36:C36"/>
    <mergeCell ref="B37:C37"/>
    <mergeCell ref="B39:C39"/>
  </mergeCells>
  <hyperlinks>
    <hyperlink ref="B37" r:id="rId1" location="contact"/>
  </hyperlinks>
  <pageMargins left="0.7" right="0.7" top="0.75" bottom="0.75" header="0.3" footer="0.3"/>
  <pageSetup paperSize="9" fitToHeight="0" orientation="landscape"/>
  <headerFooter>
    <oddFooter>&amp;L&amp;"Arial,Regular"&amp;8OzaniX Partners  |  ozanixpartners.com&amp;R&amp;"Arial,Regular"&amp;8&amp;A  |  Page &amp;P of &amp;N</oddFooter>
  </headerFooter>
  <drawing r:id="rId2"/>
</worksheet>
</file>

<file path=xl/worksheets/sheet2.xml><?xml version="1.0" encoding="utf-8"?>
<worksheet xmlns="http://schemas.openxmlformats.org/spreadsheetml/2006/main" xmlns:r="http://schemas.openxmlformats.org/officeDocument/2006/relationships">
  <sheetPr>
    <tabColor rgb="FF1572B6"/>
    <pageSetUpPr fitToPage="1"/>
  </sheetPr>
  <dimension ref="A1:H43"/>
  <sheetViews>
    <sheetView showGridLines="0" zoomScale="90" zoomScaleNormal="90" workbookViewId="0">
      <pane ySplit="2" topLeftCell="A3" activePane="bottomLeft" state="frozen"/>
      <selection pane="bottomLeft"/>
    </sheetView>
  </sheetViews>
  <sheetFormatPr defaultRowHeight="15"/>
  <cols>
    <col min="1" max="1" width="2.7109375" customWidth="1"/>
    <col min="2" max="2" width="50.7109375" customWidth="1"/>
    <col min="3" max="4" width="18.7109375" customWidth="1"/>
    <col min="5" max="5" width="20.7109375" customWidth="1"/>
    <col min="6" max="6" width="16.7109375" customWidth="1"/>
    <col min="7" max="8" width="18.7109375" customWidth="1"/>
    <col min="9" max="9" width="2.7109375" customWidth="1"/>
  </cols>
  <sheetData>
    <row r="1" spans="1:8" ht="34" customHeight="1">
      <c r="A1" s="12" t="s">
        <v>21</v>
      </c>
      <c r="B1" s="12"/>
      <c r="C1" s="12"/>
      <c r="D1" s="12"/>
      <c r="E1" s="12"/>
      <c r="F1" s="12"/>
      <c r="G1" s="12"/>
      <c r="H1" s="12"/>
    </row>
    <row r="2" spans="1:8" ht="20" customHeight="1">
      <c r="A2" s="13" t="s">
        <v>22</v>
      </c>
      <c r="B2" s="13"/>
      <c r="C2" s="13"/>
      <c r="D2" s="13"/>
      <c r="E2" s="13"/>
      <c r="F2" s="13"/>
      <c r="G2" s="13"/>
      <c r="H2" s="13"/>
    </row>
    <row r="3" spans="1:8">
      <c r="B3" s="14" t="s">
        <v>23</v>
      </c>
      <c r="C3" s="14"/>
      <c r="D3" s="14"/>
      <c r="E3" s="14"/>
      <c r="F3" s="14"/>
      <c r="G3" s="14"/>
      <c r="H3" s="14"/>
    </row>
    <row r="4" spans="1:8">
      <c r="B4" s="15" t="s">
        <v>24</v>
      </c>
      <c r="C4" s="15"/>
      <c r="D4" s="15"/>
      <c r="E4" s="15"/>
      <c r="F4" s="15"/>
      <c r="G4" s="15"/>
      <c r="H4" s="15"/>
    </row>
    <row r="5" spans="1:8">
      <c r="B5" s="8" t="s">
        <v>25</v>
      </c>
      <c r="C5" s="7" t="s">
        <v>26</v>
      </c>
      <c r="D5" s="16" t="s">
        <v>27</v>
      </c>
      <c r="E5" s="16"/>
      <c r="F5" s="16"/>
      <c r="G5" s="16"/>
      <c r="H5" s="16"/>
    </row>
    <row r="6" spans="1:8">
      <c r="B6" s="8" t="s">
        <v>28</v>
      </c>
      <c r="C6" s="7" t="s">
        <v>29</v>
      </c>
      <c r="D6" s="16" t="s">
        <v>30</v>
      </c>
      <c r="E6" s="16"/>
      <c r="F6" s="16"/>
      <c r="G6" s="16"/>
      <c r="H6" s="16"/>
    </row>
    <row r="7" spans="1:8">
      <c r="B7" s="8" t="s">
        <v>31</v>
      </c>
      <c r="C7" s="17">
        <v>46300</v>
      </c>
      <c r="D7" s="16" t="s">
        <v>32</v>
      </c>
      <c r="E7" s="16"/>
      <c r="F7" s="16"/>
      <c r="G7" s="16"/>
      <c r="H7" s="16"/>
    </row>
    <row r="8" spans="1:8">
      <c r="B8" s="8" t="s">
        <v>33</v>
      </c>
      <c r="C8" s="18">
        <v>450000</v>
      </c>
      <c r="D8" s="16" t="s">
        <v>34</v>
      </c>
      <c r="E8" s="16"/>
      <c r="F8" s="16"/>
      <c r="G8" s="16"/>
      <c r="H8" s="16"/>
    </row>
    <row r="9" spans="1:8">
      <c r="B9" s="8" t="s">
        <v>35</v>
      </c>
      <c r="C9" s="18">
        <v>400000</v>
      </c>
      <c r="D9" s="16" t="s">
        <v>36</v>
      </c>
      <c r="E9" s="16"/>
      <c r="F9" s="16"/>
      <c r="G9" s="16"/>
      <c r="H9" s="16"/>
    </row>
    <row r="10" spans="1:8">
      <c r="B10" s="14" t="s">
        <v>37</v>
      </c>
      <c r="C10" s="19">
        <f>IFERROR(2*Forecast!Q40/13,0)</f>
        <v>560347.1585113666</v>
      </c>
      <c r="D10" s="16" t="s">
        <v>38</v>
      </c>
      <c r="E10" s="16"/>
      <c r="F10" s="16"/>
      <c r="G10" s="16"/>
      <c r="H10" s="16"/>
    </row>
    <row r="12" spans="1:8">
      <c r="B12" s="15" t="s">
        <v>39</v>
      </c>
      <c r="C12" s="15"/>
      <c r="D12" s="15"/>
      <c r="E12" s="15"/>
      <c r="F12" s="15"/>
      <c r="G12" s="15"/>
      <c r="H12" s="15"/>
    </row>
    <row r="13" spans="1:8">
      <c r="B13" s="20" t="s">
        <v>40</v>
      </c>
      <c r="C13" s="7" t="s">
        <v>18</v>
      </c>
      <c r="D13" s="16" t="s">
        <v>41</v>
      </c>
      <c r="E13" s="16"/>
      <c r="F13" s="16"/>
      <c r="G13" s="16"/>
      <c r="H13" s="16"/>
    </row>
    <row r="15" spans="1:8">
      <c r="B15" s="21" t="s">
        <v>42</v>
      </c>
      <c r="C15" s="22" t="s">
        <v>18</v>
      </c>
      <c r="D15" s="22" t="s">
        <v>19</v>
      </c>
      <c r="E15" s="22" t="s">
        <v>20</v>
      </c>
      <c r="F15" s="22" t="s">
        <v>43</v>
      </c>
    </row>
    <row r="16" spans="1:8">
      <c r="B16" s="8" t="s">
        <v>44</v>
      </c>
      <c r="C16" s="23">
        <v>0</v>
      </c>
      <c r="D16" s="23">
        <v>-0.1</v>
      </c>
      <c r="E16" s="23">
        <v>0.05</v>
      </c>
      <c r="F16" s="24">
        <f>INDEX(C16:E16,1,MATCH($C$13,$C$15:$E$15,0))</f>
        <v>0</v>
      </c>
    </row>
    <row r="17" spans="2:8">
      <c r="B17" s="8" t="s">
        <v>45</v>
      </c>
      <c r="C17" s="25">
        <v>0</v>
      </c>
      <c r="D17" s="25">
        <v>2</v>
      </c>
      <c r="E17" s="25">
        <v>-1</v>
      </c>
      <c r="F17" s="26">
        <f>INDEX(C17:E17,1,MATCH($C$13,$C$15:$E$15,0))</f>
        <v>0</v>
      </c>
    </row>
    <row r="18" spans="2:8">
      <c r="B18" s="8" t="s">
        <v>46</v>
      </c>
      <c r="C18" s="23">
        <v>0</v>
      </c>
      <c r="D18" s="23">
        <v>0.03</v>
      </c>
      <c r="E18" s="23">
        <v>-0.01</v>
      </c>
      <c r="F18" s="24">
        <f>INDEX(C18:E18,1,MATCH($C$13,$C$15:$E$15,0))</f>
        <v>0</v>
      </c>
    </row>
    <row r="19" spans="2:8">
      <c r="B19" s="8" t="s">
        <v>47</v>
      </c>
      <c r="C19" s="23">
        <v>0</v>
      </c>
      <c r="D19" s="23">
        <v>0.03</v>
      </c>
      <c r="E19" s="23">
        <v>0</v>
      </c>
      <c r="F19" s="24">
        <f>INDEX(C19:E19,1,MATCH($C$13,$C$15:$E$15,0))</f>
        <v>0</v>
      </c>
    </row>
    <row r="20" spans="2:8" ht="28" customHeight="1">
      <c r="B20" s="16" t="s">
        <v>48</v>
      </c>
      <c r="C20" s="16"/>
      <c r="D20" s="16"/>
      <c r="E20" s="16"/>
      <c r="F20" s="16"/>
      <c r="G20" s="16"/>
      <c r="H20" s="16"/>
    </row>
    <row r="22" spans="2:8">
      <c r="B22" s="15" t="s">
        <v>49</v>
      </c>
      <c r="C22" s="15"/>
      <c r="D22" s="15"/>
      <c r="E22" s="15"/>
      <c r="F22" s="15"/>
      <c r="G22" s="15"/>
      <c r="H22" s="15"/>
    </row>
    <row r="23" spans="2:8">
      <c r="B23" s="8" t="s">
        <v>50</v>
      </c>
      <c r="C23" s="18">
        <v>320000</v>
      </c>
      <c r="D23" s="16" t="s">
        <v>51</v>
      </c>
      <c r="E23" s="16"/>
      <c r="F23" s="16"/>
      <c r="G23" s="16"/>
      <c r="H23" s="16"/>
    </row>
    <row r="24" spans="2:8">
      <c r="B24" s="8" t="s">
        <v>52</v>
      </c>
      <c r="C24" s="23">
        <v>0.005</v>
      </c>
      <c r="D24" s="16" t="s">
        <v>53</v>
      </c>
      <c r="E24" s="16"/>
      <c r="F24" s="16"/>
      <c r="G24" s="16"/>
      <c r="H24" s="16"/>
    </row>
    <row r="26" spans="2:8">
      <c r="B26" s="15" t="s">
        <v>54</v>
      </c>
      <c r="C26" s="15"/>
      <c r="D26" s="15"/>
      <c r="E26" s="15"/>
      <c r="F26" s="15"/>
      <c r="G26" s="15"/>
      <c r="H26" s="15"/>
    </row>
    <row r="27" spans="2:8" ht="30" customHeight="1">
      <c r="B27" s="21" t="s">
        <v>55</v>
      </c>
      <c r="C27" s="22" t="s">
        <v>56</v>
      </c>
      <c r="D27" s="22" t="s">
        <v>57</v>
      </c>
      <c r="E27" s="22" t="s">
        <v>58</v>
      </c>
      <c r="F27" s="22" t="s">
        <v>59</v>
      </c>
      <c r="G27" s="22" t="s">
        <v>60</v>
      </c>
      <c r="H27" s="22" t="s">
        <v>61</v>
      </c>
    </row>
    <row r="28" spans="2:8">
      <c r="B28" s="7" t="s">
        <v>62</v>
      </c>
      <c r="C28" s="23">
        <v>0.25</v>
      </c>
      <c r="D28" s="25">
        <v>0</v>
      </c>
      <c r="E28" s="23">
        <v>0</v>
      </c>
      <c r="F28" s="27">
        <f>ROUND(D28/7,0)</f>
        <v>0</v>
      </c>
      <c r="G28" s="27">
        <f>IF(D28&gt;0,MAX(0,F28+DelayAdj),F28)</f>
        <v>0</v>
      </c>
      <c r="H28" s="28">
        <f>IF(D28&gt;0,MIN(1,MAX(0,E28+DenialAdj)),E28)</f>
        <v>0</v>
      </c>
    </row>
    <row r="29" spans="2:8">
      <c r="B29" s="7" t="s">
        <v>63</v>
      </c>
      <c r="C29" s="23">
        <v>0.3</v>
      </c>
      <c r="D29" s="25">
        <v>45</v>
      </c>
      <c r="E29" s="23">
        <v>0.06</v>
      </c>
      <c r="F29" s="27">
        <f>ROUND(D29/7,0)</f>
        <v>6</v>
      </c>
      <c r="G29" s="27">
        <f>IF(D29&gt;0,MAX(0,F29+DelayAdj),F29)</f>
        <v>6</v>
      </c>
      <c r="H29" s="28">
        <f>IF(D29&gt;0,MIN(1,MAX(0,E29+DenialAdj)),E29)</f>
        <v>0.06</v>
      </c>
    </row>
    <row r="30" spans="2:8">
      <c r="B30" s="7" t="s">
        <v>64</v>
      </c>
      <c r="C30" s="23">
        <v>0.2</v>
      </c>
      <c r="D30" s="25">
        <v>60</v>
      </c>
      <c r="E30" s="23">
        <v>0.08</v>
      </c>
      <c r="F30" s="27">
        <f>ROUND(D30/7,0)</f>
        <v>9</v>
      </c>
      <c r="G30" s="27">
        <f>IF(D30&gt;0,MAX(0,F30+DelayAdj),F30)</f>
        <v>9</v>
      </c>
      <c r="H30" s="28">
        <f>IF(D30&gt;0,MIN(1,MAX(0,E30+DenialAdj)),E30)</f>
        <v>0.08</v>
      </c>
    </row>
    <row r="31" spans="2:8">
      <c r="B31" s="7" t="s">
        <v>65</v>
      </c>
      <c r="C31" s="23">
        <v>0.15</v>
      </c>
      <c r="D31" s="25">
        <v>75</v>
      </c>
      <c r="E31" s="23">
        <v>0.05</v>
      </c>
      <c r="F31" s="27">
        <f>ROUND(D31/7,0)</f>
        <v>11</v>
      </c>
      <c r="G31" s="27">
        <f>IF(D31&gt;0,MAX(0,F31+DelayAdj),F31)</f>
        <v>11</v>
      </c>
      <c r="H31" s="28">
        <f>IF(D31&gt;0,MIN(1,MAX(0,E31+DenialAdj)),E31)</f>
        <v>0.05</v>
      </c>
    </row>
    <row r="32" spans="2:8">
      <c r="B32" s="7" t="s">
        <v>66</v>
      </c>
      <c r="C32" s="23">
        <v>0.1</v>
      </c>
      <c r="D32" s="25">
        <v>30</v>
      </c>
      <c r="E32" s="23">
        <v>0.02</v>
      </c>
      <c r="F32" s="27">
        <f>ROUND(D32/7,0)</f>
        <v>4</v>
      </c>
      <c r="G32" s="27">
        <f>IF(D32&gt;0,MAX(0,F32+DelayAdj),F32)</f>
        <v>4</v>
      </c>
      <c r="H32" s="28">
        <f>IF(D32&gt;0,MIN(1,MAX(0,E32+DenialAdj)),E32)</f>
        <v>0.02</v>
      </c>
    </row>
    <row r="33" spans="2:8">
      <c r="B33" s="7" t="s">
        <v>67</v>
      </c>
      <c r="C33" s="23">
        <v>0</v>
      </c>
      <c r="D33" s="25">
        <v>30</v>
      </c>
      <c r="E33" s="23">
        <v>0</v>
      </c>
      <c r="F33" s="27">
        <f>ROUND(D33/7,0)</f>
        <v>4</v>
      </c>
      <c r="G33" s="27">
        <f>IF(D33&gt;0,MAX(0,F33+DelayAdj),F33)</f>
        <v>4</v>
      </c>
      <c r="H33" s="28">
        <f>IF(D33&gt;0,MIN(1,MAX(0,E33+DenialAdj)),E33)</f>
        <v>0</v>
      </c>
    </row>
    <row r="34" spans="2:8">
      <c r="B34" s="29" t="s">
        <v>68</v>
      </c>
      <c r="C34" s="30">
        <f>SUM(C28:C33)</f>
        <v>1</v>
      </c>
      <c r="D34" s="31" t="str">
        <f>IF(ROUND(C34,4)=1,"OK","Shares must add to 100%")</f>
        <v>OK</v>
      </c>
    </row>
    <row r="35" spans="2:8" ht="28" customHeight="1">
      <c r="B35" s="16" t="s">
        <v>69</v>
      </c>
      <c r="C35" s="16"/>
      <c r="D35" s="16"/>
      <c r="E35" s="16"/>
      <c r="F35" s="16"/>
      <c r="G35" s="16"/>
      <c r="H35" s="16"/>
    </row>
    <row r="37" spans="2:8">
      <c r="B37" s="15" t="s">
        <v>70</v>
      </c>
      <c r="C37" s="15"/>
      <c r="D37" s="15"/>
      <c r="E37" s="15"/>
      <c r="F37" s="15"/>
      <c r="G37" s="15"/>
      <c r="H37" s="15"/>
    </row>
    <row r="38" spans="2:8" ht="30" customHeight="1">
      <c r="B38" s="21" t="s">
        <v>71</v>
      </c>
      <c r="C38" s="22" t="s">
        <v>56</v>
      </c>
      <c r="D38" s="22" t="s">
        <v>72</v>
      </c>
      <c r="E38" s="22" t="s">
        <v>59</v>
      </c>
    </row>
    <row r="39" spans="2:8">
      <c r="B39" s="7" t="s">
        <v>73</v>
      </c>
      <c r="C39" s="23">
        <v>0.12</v>
      </c>
      <c r="D39" s="25">
        <v>30</v>
      </c>
      <c r="E39" s="27">
        <f>ROUND(D39/7,0)</f>
        <v>4</v>
      </c>
    </row>
    <row r="40" spans="2:8">
      <c r="B40" s="7" t="s">
        <v>74</v>
      </c>
      <c r="C40" s="23">
        <v>0.06</v>
      </c>
      <c r="D40" s="25">
        <v>30</v>
      </c>
      <c r="E40" s="27">
        <f>ROUND(D40/7,0)</f>
        <v>4</v>
      </c>
    </row>
    <row r="41" spans="2:8">
      <c r="B41" s="7" t="s">
        <v>75</v>
      </c>
      <c r="C41" s="23">
        <v>0.2</v>
      </c>
      <c r="D41" s="25">
        <v>14</v>
      </c>
      <c r="E41" s="27">
        <f>ROUND(D41/7,0)</f>
        <v>2</v>
      </c>
    </row>
    <row r="42" spans="2:8">
      <c r="B42" s="7" t="s">
        <v>76</v>
      </c>
      <c r="C42" s="23">
        <v>0</v>
      </c>
      <c r="D42" s="25">
        <v>30</v>
      </c>
      <c r="E42" s="27">
        <f>ROUND(D42/7,0)</f>
        <v>4</v>
      </c>
    </row>
    <row r="43" spans="2:8" ht="28" customHeight="1">
      <c r="B43" s="16" t="s">
        <v>77</v>
      </c>
      <c r="C43" s="16"/>
      <c r="D43" s="16"/>
      <c r="E43" s="16"/>
      <c r="F43" s="16"/>
      <c r="G43" s="16"/>
      <c r="H43" s="16"/>
    </row>
  </sheetData>
  <mergeCells count="20">
    <mergeCell ref="A1:H1"/>
    <mergeCell ref="A2:H2"/>
    <mergeCell ref="B3:H3"/>
    <mergeCell ref="B4:H4"/>
    <mergeCell ref="D5:H5"/>
    <mergeCell ref="D6:H6"/>
    <mergeCell ref="D7:H7"/>
    <mergeCell ref="D8:H8"/>
    <mergeCell ref="D9:H9"/>
    <mergeCell ref="D10:H10"/>
    <mergeCell ref="B12:H12"/>
    <mergeCell ref="D13:H13"/>
    <mergeCell ref="B20:H20"/>
    <mergeCell ref="B22:H22"/>
    <mergeCell ref="D23:H23"/>
    <mergeCell ref="D24:H24"/>
    <mergeCell ref="B26:H26"/>
    <mergeCell ref="B35:H35"/>
    <mergeCell ref="B37:H37"/>
    <mergeCell ref="B43:H43"/>
  </mergeCells>
  <conditionalFormatting sqref="D34">
    <cfRule type="containsText" dxfId="0" priority="1" operator="containsText" text="Shares">
      <formula>NOT(ISERROR(SEARCH("Shares",D34)))</formula>
    </cfRule>
  </conditionalFormatting>
  <dataValidations count="5">
    <dataValidation type="list" allowBlank="1" showInputMessage="1" showErrorMessage="1" promptTitle="Scenario" prompt="Pick Base, Downside or Upside. The whole workbook recalculates." sqref="C13">
      <formula1>"Base,Downside,Upside"</formula1>
    </dataValidation>
    <dataValidation type="decimal" allowBlank="1" showInputMessage="1" showErrorMessage="1" errorTitle="Share" error="Enter a percentage between 0% and 100%." sqref="C28:C33">
      <formula1>0</formula1>
      <formula2>1</formula2>
    </dataValidation>
    <dataValidation type="decimal" allowBlank="1" showInputMessage="1" showErrorMessage="1" errorTitle="Rate" error="Enter a percentage between 0% and 100%." sqref="E28:E33">
      <formula1>0</formula1>
      <formula2>1</formula2>
    </dataValidation>
    <dataValidation type="whole" allowBlank="1" showInputMessage="1" showErrorMessage="1" errorTitle="Days" error="Enter whole days between 0 and 365." sqref="D28:D33">
      <formula1>0</formula1>
      <formula2>365</formula2>
    </dataValidation>
    <dataValidation type="decimal" allowBlank="1" showInputMessage="1" showErrorMessage="1" sqref="C39:C42">
      <formula1>0</formula1>
      <formula2>1</formula2>
    </dataValidation>
  </dataValidations>
  <pageMargins left="0.7" right="0.7" top="0.75" bottom="0.75" header="0.3" footer="0.3"/>
  <pageSetup paperSize="9" fitToHeight="0" orientation="landscape"/>
  <headerFooter>
    <oddFooter>&amp;L&amp;"Arial,Regular"&amp;8OzaniX Partners  |  ozanixpartners.com&amp;R&amp;"Arial,Regular"&amp;8&amp;A  |  Page &amp;P of &amp;N</oddFooter>
  </headerFooter>
</worksheet>
</file>

<file path=xl/worksheets/sheet3.xml><?xml version="1.0" encoding="utf-8"?>
<worksheet xmlns="http://schemas.openxmlformats.org/spreadsheetml/2006/main" xmlns:r="http://schemas.openxmlformats.org/officeDocument/2006/relationships">
  <sheetPr>
    <tabColor rgb="FF1572B6"/>
    <pageSetUpPr fitToPage="1"/>
  </sheetPr>
  <dimension ref="A1:Q18"/>
  <sheetViews>
    <sheetView showGridLines="0" zoomScale="90" zoomScaleNormal="90" workbookViewId="0">
      <pane xSplit="1" ySplit="6" topLeftCell="B7" activePane="bottomRight" state="frozen"/>
      <selection pane="topRight" activeCell="B1" sqref="B1"/>
      <selection pane="bottomLeft" activeCell="A7" sqref="A7"/>
      <selection pane="bottomRight"/>
    </sheetView>
  </sheetViews>
  <sheetFormatPr defaultRowHeight="15"/>
  <cols>
    <col min="1" max="1" width="58.7109375" customWidth="1"/>
    <col min="2" max="3" width="2.7109375" customWidth="1"/>
    <col min="4" max="16" width="12.28515625" customWidth="1"/>
    <col min="17" max="17" width="13.7109375" customWidth="1"/>
  </cols>
  <sheetData>
    <row r="1" spans="1:17" ht="34" customHeight="1">
      <c r="A1" s="12" t="s">
        <v>78</v>
      </c>
      <c r="B1" s="12"/>
      <c r="C1" s="12"/>
      <c r="D1" s="12"/>
      <c r="E1" s="12"/>
      <c r="F1" s="12"/>
      <c r="G1" s="12"/>
      <c r="H1" s="12"/>
      <c r="I1" s="12"/>
      <c r="J1" s="12"/>
      <c r="K1" s="12"/>
      <c r="L1" s="12"/>
      <c r="M1" s="12"/>
      <c r="N1" s="12"/>
      <c r="O1" s="12"/>
      <c r="P1" s="12"/>
      <c r="Q1" s="12"/>
    </row>
    <row r="2" spans="1:17" ht="20" customHeight="1">
      <c r="A2" s="13" t="s">
        <v>79</v>
      </c>
      <c r="B2" s="13"/>
      <c r="C2" s="13"/>
      <c r="D2" s="13"/>
      <c r="E2" s="13"/>
      <c r="F2" s="13"/>
      <c r="G2" s="13"/>
      <c r="H2" s="13"/>
      <c r="I2" s="13"/>
      <c r="J2" s="13"/>
      <c r="K2" s="13"/>
      <c r="L2" s="13"/>
      <c r="M2" s="13"/>
      <c r="N2" s="13"/>
      <c r="O2" s="13"/>
      <c r="P2" s="13"/>
      <c r="Q2" s="13"/>
    </row>
    <row r="4" spans="1:17">
      <c r="A4" s="32" t="s">
        <v>80</v>
      </c>
      <c r="D4" s="33">
        <v>1</v>
      </c>
      <c r="E4" s="33">
        <v>2</v>
      </c>
      <c r="F4" s="33">
        <v>3</v>
      </c>
      <c r="G4" s="33">
        <v>4</v>
      </c>
      <c r="H4" s="33">
        <v>5</v>
      </c>
      <c r="I4" s="33">
        <v>6</v>
      </c>
      <c r="J4" s="33">
        <v>7</v>
      </c>
      <c r="K4" s="33">
        <v>8</v>
      </c>
      <c r="L4" s="33">
        <v>9</v>
      </c>
      <c r="M4" s="33">
        <v>10</v>
      </c>
      <c r="N4" s="33">
        <v>11</v>
      </c>
      <c r="O4" s="33">
        <v>12</v>
      </c>
      <c r="P4" s="33">
        <v>13</v>
      </c>
    </row>
    <row r="5" spans="1:17">
      <c r="A5" s="21" t="s">
        <v>81</v>
      </c>
      <c r="D5" s="34">
        <f>StartDate</f>
        <v>46300</v>
      </c>
      <c r="E5" s="35">
        <f>D5+7</f>
        <v>46307</v>
      </c>
      <c r="F5" s="35">
        <f>E5+7</f>
        <v>46314</v>
      </c>
      <c r="G5" s="35">
        <f>F5+7</f>
        <v>46321</v>
      </c>
      <c r="H5" s="35">
        <f>G5+7</f>
        <v>46328</v>
      </c>
      <c r="I5" s="35">
        <f>H5+7</f>
        <v>46335</v>
      </c>
      <c r="J5" s="35">
        <f>I5+7</f>
        <v>46342</v>
      </c>
      <c r="K5" s="35">
        <f>J5+7</f>
        <v>46349</v>
      </c>
      <c r="L5" s="35">
        <f>K5+7</f>
        <v>46356</v>
      </c>
      <c r="M5" s="35">
        <f>L5+7</f>
        <v>46363</v>
      </c>
      <c r="N5" s="35">
        <f>M5+7</f>
        <v>46370</v>
      </c>
      <c r="O5" s="35">
        <f>N5+7</f>
        <v>46377</v>
      </c>
      <c r="P5" s="35">
        <f>O5+7</f>
        <v>46384</v>
      </c>
    </row>
    <row r="6" spans="1:17">
      <c r="A6" s="21" t="s">
        <v>82</v>
      </c>
      <c r="D6" s="35">
        <f>D5+6</f>
        <v>46306</v>
      </c>
      <c r="E6" s="35">
        <f>E5+6</f>
        <v>46313</v>
      </c>
      <c r="F6" s="35">
        <f>F5+6</f>
        <v>46320</v>
      </c>
      <c r="G6" s="35">
        <f>G5+6</f>
        <v>46327</v>
      </c>
      <c r="H6" s="35">
        <f>H5+6</f>
        <v>46334</v>
      </c>
      <c r="I6" s="35">
        <f>I5+6</f>
        <v>46341</v>
      </c>
      <c r="J6" s="35">
        <f>J5+6</f>
        <v>46348</v>
      </c>
      <c r="K6" s="35">
        <f>K5+6</f>
        <v>46355</v>
      </c>
      <c r="L6" s="35">
        <f>L5+6</f>
        <v>46362</v>
      </c>
      <c r="M6" s="35">
        <f>M5+6</f>
        <v>46369</v>
      </c>
      <c r="N6" s="35">
        <f>N5+6</f>
        <v>46376</v>
      </c>
      <c r="O6" s="35">
        <f>O5+6</f>
        <v>46383</v>
      </c>
      <c r="P6" s="35">
        <f>P5+6</f>
        <v>46390</v>
      </c>
    </row>
    <row r="8" spans="1:17">
      <c r="A8" s="20" t="s">
        <v>83</v>
      </c>
    </row>
    <row r="9" spans="1:17" ht="30" customHeight="1">
      <c r="A9" s="16" t="s">
        <v>84</v>
      </c>
      <c r="B9" s="16"/>
      <c r="C9" s="16"/>
      <c r="D9" s="16"/>
      <c r="E9" s="16"/>
      <c r="F9" s="16"/>
      <c r="G9" s="16"/>
      <c r="H9" s="16"/>
      <c r="I9" s="16"/>
      <c r="J9" s="16"/>
      <c r="K9" s="16"/>
      <c r="L9" s="16"/>
      <c r="M9" s="16"/>
      <c r="N9" s="16"/>
      <c r="O9" s="16"/>
      <c r="P9" s="16"/>
      <c r="Q9" s="16"/>
    </row>
    <row r="10" spans="1:17">
      <c r="A10" s="8" t="s">
        <v>85</v>
      </c>
      <c r="D10" s="18">
        <v>226000</v>
      </c>
      <c r="E10" s="18">
        <v>226000</v>
      </c>
      <c r="F10" s="18">
        <v>226000</v>
      </c>
      <c r="G10" s="18">
        <v>226000</v>
      </c>
      <c r="H10" s="18">
        <v>195000</v>
      </c>
      <c r="I10" s="18">
        <v>195000</v>
      </c>
      <c r="J10" s="18">
        <v>104000</v>
      </c>
      <c r="K10" s="18">
        <v>104000</v>
      </c>
      <c r="L10" s="18">
        <v>104000</v>
      </c>
      <c r="M10" s="18">
        <v>46000</v>
      </c>
      <c r="N10" s="18">
        <v>46000</v>
      </c>
      <c r="O10" s="18">
        <v>0</v>
      </c>
      <c r="P10" s="18">
        <v>0</v>
      </c>
      <c r="Q10" s="36">
        <f>SUM(D10:P10)</f>
        <v>1698000</v>
      </c>
    </row>
    <row r="12" spans="1:17">
      <c r="A12" s="20" t="s">
        <v>86</v>
      </c>
    </row>
    <row r="13" spans="1:17">
      <c r="A13" s="16" t="s">
        <v>87</v>
      </c>
      <c r="B13" s="16"/>
      <c r="C13" s="16"/>
      <c r="D13" s="16"/>
      <c r="E13" s="16"/>
      <c r="F13" s="16"/>
      <c r="G13" s="16"/>
      <c r="H13" s="16"/>
      <c r="I13" s="16"/>
      <c r="J13" s="16"/>
      <c r="K13" s="16"/>
      <c r="L13" s="16"/>
      <c r="M13" s="16"/>
      <c r="N13" s="16"/>
      <c r="O13" s="16"/>
      <c r="P13" s="16"/>
      <c r="Q13" s="16"/>
    </row>
    <row r="14" spans="1:17">
      <c r="A14" s="8" t="s">
        <v>88</v>
      </c>
      <c r="D14" s="18">
        <v>122000</v>
      </c>
      <c r="E14" s="18">
        <v>122000</v>
      </c>
      <c r="F14" s="18">
        <v>58000</v>
      </c>
      <c r="G14" s="18">
        <v>58000</v>
      </c>
      <c r="H14" s="18">
        <v>0</v>
      </c>
      <c r="I14" s="18">
        <v>0</v>
      </c>
      <c r="J14" s="18">
        <v>0</v>
      </c>
      <c r="K14" s="18">
        <v>0</v>
      </c>
      <c r="L14" s="18">
        <v>0</v>
      </c>
      <c r="M14" s="18">
        <v>0</v>
      </c>
      <c r="N14" s="18">
        <v>0</v>
      </c>
      <c r="O14" s="18">
        <v>0</v>
      </c>
      <c r="P14" s="18">
        <v>0</v>
      </c>
      <c r="Q14" s="36">
        <f>SUM(D14:P14)</f>
        <v>360000</v>
      </c>
    </row>
    <row r="16" spans="1:17">
      <c r="A16" s="20" t="s">
        <v>89</v>
      </c>
    </row>
    <row r="17" spans="1:17">
      <c r="A17" s="16" t="s">
        <v>90</v>
      </c>
      <c r="B17" s="16"/>
      <c r="C17" s="16"/>
      <c r="D17" s="16"/>
      <c r="E17" s="16"/>
      <c r="F17" s="16"/>
      <c r="G17" s="16"/>
      <c r="H17" s="16"/>
      <c r="I17" s="16"/>
      <c r="J17" s="16"/>
      <c r="K17" s="16"/>
      <c r="L17" s="16"/>
      <c r="M17" s="16"/>
      <c r="N17" s="16"/>
      <c r="O17" s="16"/>
      <c r="P17" s="16"/>
      <c r="Q17" s="16"/>
    </row>
    <row r="18" spans="1:17">
      <c r="A18" s="8" t="s">
        <v>91</v>
      </c>
      <c r="D18" s="18">
        <v>0</v>
      </c>
      <c r="E18" s="18">
        <v>0</v>
      </c>
      <c r="F18" s="18">
        <v>0</v>
      </c>
      <c r="G18" s="18">
        <v>0</v>
      </c>
      <c r="H18" s="18">
        <v>0</v>
      </c>
      <c r="I18" s="18">
        <v>0</v>
      </c>
      <c r="J18" s="18">
        <v>0</v>
      </c>
      <c r="K18" s="18">
        <v>0</v>
      </c>
      <c r="L18" s="18">
        <v>25000</v>
      </c>
      <c r="M18" s="18">
        <v>0</v>
      </c>
      <c r="N18" s="18">
        <v>0</v>
      </c>
      <c r="O18" s="18">
        <v>0</v>
      </c>
      <c r="P18" s="18">
        <v>0</v>
      </c>
      <c r="Q18" s="36">
        <f>SUM(D18:P18)</f>
        <v>25000</v>
      </c>
    </row>
  </sheetData>
  <mergeCells count="5">
    <mergeCell ref="A1:Q1"/>
    <mergeCell ref="A2:Q2"/>
    <mergeCell ref="A9:Q9"/>
    <mergeCell ref="A13:Q13"/>
    <mergeCell ref="A17:Q17"/>
  </mergeCells>
  <pageMargins left="0.7" right="0.7" top="0.75" bottom="0.75" header="0.3" footer="0.3"/>
  <pageSetup paperSize="9" fitToHeight="0" orientation="landscape"/>
  <headerFooter>
    <oddFooter>&amp;L&amp;"Arial,Regular"&amp;8OzaniX Partners  |  ozanixpartners.com&amp;R&amp;"Arial,Regular"&amp;8&amp;A  |  Page &amp;P of &amp;N</oddFooter>
  </headerFooter>
</worksheet>
</file>

<file path=xl/worksheets/sheet4.xml><?xml version="1.0" encoding="utf-8"?>
<worksheet xmlns="http://schemas.openxmlformats.org/spreadsheetml/2006/main" xmlns:r="http://schemas.openxmlformats.org/officeDocument/2006/relationships">
  <sheetPr>
    <tabColor rgb="FFC4A466"/>
    <pageSetUpPr fitToPage="1"/>
  </sheetPr>
  <dimension ref="A1:Q30"/>
  <sheetViews>
    <sheetView showGridLines="0" zoomScale="90" zoomScaleNormal="90" workbookViewId="0">
      <pane xSplit="1" ySplit="6" topLeftCell="B7" activePane="bottomRight" state="frozen"/>
      <selection pane="topRight" activeCell="B1" sqref="B1"/>
      <selection pane="bottomLeft" activeCell="A7" sqref="A7"/>
      <selection pane="bottomRight"/>
    </sheetView>
  </sheetViews>
  <sheetFormatPr defaultRowHeight="15"/>
  <cols>
    <col min="1" max="1" width="40.7109375" customWidth="1"/>
    <col min="2" max="2" width="2.7109375" customWidth="1"/>
    <col min="3" max="3" width="9.7109375" customWidth="1"/>
    <col min="4" max="16" width="12.28515625" customWidth="1"/>
    <col min="17" max="17" width="13.7109375" customWidth="1"/>
  </cols>
  <sheetData>
    <row r="1" spans="1:17" ht="34" customHeight="1">
      <c r="A1" s="12" t="s">
        <v>92</v>
      </c>
      <c r="B1" s="12"/>
      <c r="C1" s="12"/>
      <c r="D1" s="12"/>
      <c r="E1" s="12"/>
      <c r="F1" s="12"/>
      <c r="G1" s="12"/>
      <c r="H1" s="12"/>
      <c r="I1" s="12"/>
      <c r="J1" s="12"/>
      <c r="K1" s="12"/>
      <c r="L1" s="12"/>
      <c r="M1" s="12"/>
      <c r="N1" s="12"/>
      <c r="O1" s="12"/>
      <c r="P1" s="12"/>
      <c r="Q1" s="12"/>
    </row>
    <row r="2" spans="1:17" ht="20" customHeight="1">
      <c r="A2" s="13" t="s">
        <v>93</v>
      </c>
      <c r="B2" s="13"/>
      <c r="C2" s="13"/>
      <c r="D2" s="13"/>
      <c r="E2" s="13"/>
      <c r="F2" s="13"/>
      <c r="G2" s="13"/>
      <c r="H2" s="13"/>
      <c r="I2" s="13"/>
      <c r="J2" s="13"/>
      <c r="K2" s="13"/>
      <c r="L2" s="13"/>
      <c r="M2" s="13"/>
      <c r="N2" s="13"/>
      <c r="O2" s="13"/>
      <c r="P2" s="13"/>
      <c r="Q2" s="13"/>
    </row>
    <row r="4" spans="1:17">
      <c r="A4" s="32" t="s">
        <v>80</v>
      </c>
      <c r="C4" s="32"/>
      <c r="D4" s="33">
        <v>1</v>
      </c>
      <c r="E4" s="33">
        <v>2</v>
      </c>
      <c r="F4" s="33">
        <v>3</v>
      </c>
      <c r="G4" s="33">
        <v>4</v>
      </c>
      <c r="H4" s="33">
        <v>5</v>
      </c>
      <c r="I4" s="33">
        <v>6</v>
      </c>
      <c r="J4" s="33">
        <v>7</v>
      </c>
      <c r="K4" s="33">
        <v>8</v>
      </c>
      <c r="L4" s="33">
        <v>9</v>
      </c>
      <c r="M4" s="33">
        <v>10</v>
      </c>
      <c r="N4" s="33">
        <v>11</v>
      </c>
      <c r="O4" s="33">
        <v>12</v>
      </c>
      <c r="P4" s="33">
        <v>13</v>
      </c>
    </row>
    <row r="5" spans="1:17">
      <c r="A5" s="21" t="s">
        <v>81</v>
      </c>
      <c r="D5" s="34">
        <f>StartDate</f>
        <v>46300</v>
      </c>
      <c r="E5" s="35">
        <f>D5+7</f>
        <v>46307</v>
      </c>
      <c r="F5" s="35">
        <f>E5+7</f>
        <v>46314</v>
      </c>
      <c r="G5" s="35">
        <f>F5+7</f>
        <v>46321</v>
      </c>
      <c r="H5" s="35">
        <f>G5+7</f>
        <v>46328</v>
      </c>
      <c r="I5" s="35">
        <f>H5+7</f>
        <v>46335</v>
      </c>
      <c r="J5" s="35">
        <f>I5+7</f>
        <v>46342</v>
      </c>
      <c r="K5" s="35">
        <f>J5+7</f>
        <v>46349</v>
      </c>
      <c r="L5" s="35">
        <f>K5+7</f>
        <v>46356</v>
      </c>
      <c r="M5" s="35">
        <f>L5+7</f>
        <v>46363</v>
      </c>
      <c r="N5" s="35">
        <f>M5+7</f>
        <v>46370</v>
      </c>
      <c r="O5" s="35">
        <f>N5+7</f>
        <v>46377</v>
      </c>
      <c r="P5" s="35">
        <f>O5+7</f>
        <v>46384</v>
      </c>
    </row>
    <row r="6" spans="1:17">
      <c r="A6" s="21" t="s">
        <v>82</v>
      </c>
      <c r="D6" s="35">
        <f>D5+6</f>
        <v>46306</v>
      </c>
      <c r="E6" s="35">
        <f>E5+6</f>
        <v>46313</v>
      </c>
      <c r="F6" s="35">
        <f>F5+6</f>
        <v>46320</v>
      </c>
      <c r="G6" s="35">
        <f>G5+6</f>
        <v>46327</v>
      </c>
      <c r="H6" s="35">
        <f>H5+6</f>
        <v>46334</v>
      </c>
      <c r="I6" s="35">
        <f>I5+6</f>
        <v>46341</v>
      </c>
      <c r="J6" s="35">
        <f>J5+6</f>
        <v>46348</v>
      </c>
      <c r="K6" s="35">
        <f>K5+6</f>
        <v>46355</v>
      </c>
      <c r="L6" s="35">
        <f>L5+6</f>
        <v>46362</v>
      </c>
      <c r="M6" s="35">
        <f>M5+6</f>
        <v>46369</v>
      </c>
      <c r="N6" s="35">
        <f>N5+6</f>
        <v>46376</v>
      </c>
      <c r="O6" s="35">
        <f>O5+6</f>
        <v>46383</v>
      </c>
      <c r="P6" s="35">
        <f>P5+6</f>
        <v>46390</v>
      </c>
    </row>
    <row r="8" spans="1:17">
      <c r="A8" s="15" t="s">
        <v>94</v>
      </c>
      <c r="B8" s="15"/>
      <c r="C8" s="15"/>
      <c r="D8" s="15"/>
      <c r="E8" s="15"/>
      <c r="F8" s="15"/>
      <c r="G8" s="15"/>
      <c r="H8" s="15"/>
      <c r="I8" s="15"/>
      <c r="J8" s="15"/>
      <c r="K8" s="15"/>
      <c r="L8" s="15"/>
      <c r="M8" s="15"/>
      <c r="N8" s="15"/>
      <c r="O8" s="15"/>
      <c r="P8" s="15"/>
      <c r="Q8" s="15"/>
    </row>
    <row r="9" spans="1:17">
      <c r="A9" s="8" t="s">
        <v>95</v>
      </c>
      <c r="D9" s="37">
        <v>1</v>
      </c>
      <c r="E9" s="37">
        <v>1</v>
      </c>
      <c r="F9" s="37">
        <v>1</v>
      </c>
      <c r="G9" s="37">
        <v>1</v>
      </c>
      <c r="H9" s="37">
        <v>1</v>
      </c>
      <c r="I9" s="37">
        <v>1</v>
      </c>
      <c r="J9" s="37">
        <v>1</v>
      </c>
      <c r="K9" s="37">
        <v>1</v>
      </c>
      <c r="L9" s="37">
        <v>1</v>
      </c>
      <c r="M9" s="37">
        <v>1</v>
      </c>
      <c r="N9" s="37">
        <v>1</v>
      </c>
      <c r="O9" s="37">
        <v>0.9</v>
      </c>
      <c r="P9" s="37">
        <v>0.9</v>
      </c>
      <c r="Q9" s="8"/>
    </row>
    <row r="10" spans="1:17">
      <c r="A10" s="29" t="s">
        <v>96</v>
      </c>
      <c r="B10" s="29"/>
      <c r="C10" s="29"/>
      <c r="D10" s="36">
        <f>BaseBilling*(1+GrowthWk)^(D$4-1)*D9*(1+BillAdj)</f>
        <v>320000</v>
      </c>
      <c r="E10" s="36">
        <f>BaseBilling*(1+GrowthWk)^(E$4-1)*E9*(1+BillAdj)</f>
        <v>321599.9999999999</v>
      </c>
      <c r="F10" s="36">
        <f>BaseBilling*(1+GrowthWk)^(F$4-1)*F9*(1+BillAdj)</f>
        <v>323207.9999999999</v>
      </c>
      <c r="G10" s="36">
        <f>BaseBilling*(1+GrowthWk)^(G$4-1)*G9*(1+BillAdj)</f>
        <v>324824.0399999999</v>
      </c>
      <c r="H10" s="36">
        <f>BaseBilling*(1+GrowthWk)^(H$4-1)*H9*(1+BillAdj)</f>
        <v>326448.1601999999</v>
      </c>
      <c r="I10" s="36">
        <f>BaseBilling*(1+GrowthWk)^(I$4-1)*I9*(1+BillAdj)</f>
        <v>328080.4010009998</v>
      </c>
      <c r="J10" s="36">
        <f>BaseBilling*(1+GrowthWk)^(J$4-1)*J9*(1+BillAdj)</f>
        <v>329720.8030060048</v>
      </c>
      <c r="K10" s="36">
        <f>BaseBilling*(1+GrowthWk)^(K$4-1)*K9*(1+BillAdj)</f>
        <v>331369.4070210348</v>
      </c>
      <c r="L10" s="36">
        <f>BaseBilling*(1+GrowthWk)^(L$4-1)*L9*(1+BillAdj)</f>
        <v>333026.25405614</v>
      </c>
      <c r="M10" s="36">
        <f>BaseBilling*(1+GrowthWk)^(M$4-1)*M9*(1+BillAdj)</f>
        <v>334691.3853264205</v>
      </c>
      <c r="N10" s="36">
        <f>BaseBilling*(1+GrowthWk)^(N$4-1)*N9*(1+BillAdj)</f>
        <v>336364.8422530527</v>
      </c>
      <c r="O10" s="36">
        <f>BaseBilling*(1+GrowthWk)^(O$4-1)*O9*(1+BillAdj)</f>
        <v>304241.9998178861</v>
      </c>
      <c r="P10" s="36">
        <f>BaseBilling*(1+GrowthWk)^(P$4-1)*P9*(1+BillAdj)</f>
        <v>305763.2098169755</v>
      </c>
      <c r="Q10" s="36">
        <f>SUM(D10:P10)</f>
        <v>4219338.502498513</v>
      </c>
    </row>
    <row r="11" spans="1:17">
      <c r="A11" s="16" t="s">
        <v>97</v>
      </c>
      <c r="B11" s="16"/>
      <c r="C11" s="16"/>
      <c r="D11" s="16"/>
      <c r="E11" s="16"/>
      <c r="F11" s="16"/>
      <c r="G11" s="16"/>
      <c r="H11" s="16"/>
      <c r="I11" s="16"/>
      <c r="J11" s="16"/>
      <c r="K11" s="16"/>
      <c r="L11" s="16"/>
      <c r="M11" s="16"/>
      <c r="N11" s="16"/>
      <c r="O11" s="16"/>
      <c r="P11" s="16"/>
      <c r="Q11" s="16"/>
    </row>
    <row r="12" spans="1:17">
      <c r="A12" s="20" t="s">
        <v>99</v>
      </c>
      <c r="C12" s="38" t="s">
        <v>98</v>
      </c>
    </row>
    <row r="13" spans="1:17">
      <c r="A13" s="9" t="str">
        <f>Setup!B28</f>
        <v>Self pay (cash and card)</v>
      </c>
      <c r="C13" s="39">
        <f>Setup!C28</f>
        <v>0.25</v>
      </c>
      <c r="D13" s="19">
        <f>D$10*$C13</f>
        <v>80000</v>
      </c>
      <c r="E13" s="19">
        <f>E$10*$C13</f>
        <v>80399.99999999999</v>
      </c>
      <c r="F13" s="19">
        <f>F$10*$C13</f>
        <v>80801.99999999999</v>
      </c>
      <c r="G13" s="19">
        <f>G$10*$C13</f>
        <v>81206.00999999997</v>
      </c>
      <c r="H13" s="19">
        <f>H$10*$C13</f>
        <v>81612.04004999997</v>
      </c>
      <c r="I13" s="19">
        <f>I$10*$C13</f>
        <v>82020.10025024995</v>
      </c>
      <c r="J13" s="19">
        <f>J$10*$C13</f>
        <v>82430.20075150121</v>
      </c>
      <c r="K13" s="19">
        <f>K$10*$C13</f>
        <v>82842.3517552587</v>
      </c>
      <c r="L13" s="19">
        <f>L$10*$C13</f>
        <v>83256.56351403499</v>
      </c>
      <c r="M13" s="19">
        <f>M$10*$C13</f>
        <v>83672.84633160513</v>
      </c>
      <c r="N13" s="19">
        <f>N$10*$C13</f>
        <v>84091.21056326317</v>
      </c>
      <c r="O13" s="19">
        <f>O$10*$C13</f>
        <v>76060.49995447152</v>
      </c>
      <c r="P13" s="19">
        <f>P$10*$C13</f>
        <v>76440.80245424388</v>
      </c>
      <c r="Q13" s="36">
        <f>SUM(D13:P13)</f>
        <v>1054834.625624628</v>
      </c>
    </row>
    <row r="14" spans="1:17">
      <c r="A14" s="9" t="str">
        <f>Setup!B29</f>
        <v>Insurer A (large network)</v>
      </c>
      <c r="C14" s="39">
        <f>Setup!C29</f>
        <v>0.3</v>
      </c>
      <c r="D14" s="19">
        <f>D$10*$C14</f>
        <v>96000</v>
      </c>
      <c r="E14" s="19">
        <f>E$10*$C14</f>
        <v>96479.99999999999</v>
      </c>
      <c r="F14" s="19">
        <f>F$10*$C14</f>
        <v>96962.39999999998</v>
      </c>
      <c r="G14" s="19">
        <f>G$10*$C14</f>
        <v>97447.21199999996</v>
      </c>
      <c r="H14" s="19">
        <f>H$10*$C14</f>
        <v>97934.44805999995</v>
      </c>
      <c r="I14" s="19">
        <f>I$10*$C14</f>
        <v>98424.12030029994</v>
      </c>
      <c r="J14" s="19">
        <f>J$10*$C14</f>
        <v>98916.24090180144</v>
      </c>
      <c r="K14" s="19">
        <f>K$10*$C14</f>
        <v>99410.82210631044</v>
      </c>
      <c r="L14" s="19">
        <f>L$10*$C14</f>
        <v>99907.87621684199</v>
      </c>
      <c r="M14" s="19">
        <f>M$10*$C14</f>
        <v>100407.4155979262</v>
      </c>
      <c r="N14" s="19">
        <f>N$10*$C14</f>
        <v>100909.4526759158</v>
      </c>
      <c r="O14" s="19">
        <f>O$10*$C14</f>
        <v>91272.59994536583</v>
      </c>
      <c r="P14" s="19">
        <f>P$10*$C14</f>
        <v>91728.96294509266</v>
      </c>
      <c r="Q14" s="36">
        <f>SUM(D14:P14)</f>
        <v>1265801.550749554</v>
      </c>
    </row>
    <row r="15" spans="1:17">
      <c r="A15" s="9" t="str">
        <f>Setup!B30</f>
        <v>Insurer B</v>
      </c>
      <c r="C15" s="39">
        <f>Setup!C30</f>
        <v>0.2</v>
      </c>
      <c r="D15" s="19">
        <f>D$10*$C15</f>
        <v>64000</v>
      </c>
      <c r="E15" s="19">
        <f>E$10*$C15</f>
        <v>64319.99999999999</v>
      </c>
      <c r="F15" s="19">
        <f>F$10*$C15</f>
        <v>64641.59999999999</v>
      </c>
      <c r="G15" s="19">
        <f>G$10*$C15</f>
        <v>64964.80799999998</v>
      </c>
      <c r="H15" s="19">
        <f>H$10*$C15</f>
        <v>65289.63203999997</v>
      </c>
      <c r="I15" s="19">
        <f>I$10*$C15</f>
        <v>65616.08020019995</v>
      </c>
      <c r="J15" s="19">
        <f>J$10*$C15</f>
        <v>65944.16060120097</v>
      </c>
      <c r="K15" s="19">
        <f>K$10*$C15</f>
        <v>66273.88140420696</v>
      </c>
      <c r="L15" s="19">
        <f>L$10*$C15</f>
        <v>66605.25081122799</v>
      </c>
      <c r="M15" s="19">
        <f>M$10*$C15</f>
        <v>66938.27706528411</v>
      </c>
      <c r="N15" s="19">
        <f>N$10*$C15</f>
        <v>67272.96845061054</v>
      </c>
      <c r="O15" s="19">
        <f>O$10*$C15</f>
        <v>60848.39996357722</v>
      </c>
      <c r="P15" s="19">
        <f>P$10*$C15</f>
        <v>61152.64196339511</v>
      </c>
      <c r="Q15" s="36">
        <f>SUM(D15:P15)</f>
        <v>843867.7004997027</v>
      </c>
    </row>
    <row r="16" spans="1:17">
      <c r="A16" s="9" t="str">
        <f>Setup!B31</f>
        <v>Government schemes</v>
      </c>
      <c r="C16" s="39">
        <f>Setup!C31</f>
        <v>0.15</v>
      </c>
      <c r="D16" s="19">
        <f>D$10*$C16</f>
        <v>48000</v>
      </c>
      <c r="E16" s="19">
        <f>E$10*$C16</f>
        <v>48239.99999999999</v>
      </c>
      <c r="F16" s="19">
        <f>F$10*$C16</f>
        <v>48481.19999999999</v>
      </c>
      <c r="G16" s="19">
        <f>G$10*$C16</f>
        <v>48723.60599999998</v>
      </c>
      <c r="H16" s="19">
        <f>H$10*$C16</f>
        <v>48967.22402999998</v>
      </c>
      <c r="I16" s="19">
        <f>I$10*$C16</f>
        <v>49212.06015014997</v>
      </c>
      <c r="J16" s="19">
        <f>J$10*$C16</f>
        <v>49458.12045090072</v>
      </c>
      <c r="K16" s="19">
        <f>K$10*$C16</f>
        <v>49705.41105315522</v>
      </c>
      <c r="L16" s="19">
        <f>L$10*$C16</f>
        <v>49953.938108421</v>
      </c>
      <c r="M16" s="19">
        <f>M$10*$C16</f>
        <v>50203.70779896308</v>
      </c>
      <c r="N16" s="19">
        <f>N$10*$C16</f>
        <v>50454.7263379579</v>
      </c>
      <c r="O16" s="19">
        <f>O$10*$C16</f>
        <v>45636.29997268291</v>
      </c>
      <c r="P16" s="19">
        <f>P$10*$C16</f>
        <v>45864.48147254633</v>
      </c>
      <c r="Q16" s="36">
        <f>SUM(D16:P16)</f>
        <v>632900.7753747771</v>
      </c>
    </row>
    <row r="17" spans="1:17">
      <c r="A17" s="9" t="str">
        <f>Setup!B32</f>
        <v>Corporate accounts</v>
      </c>
      <c r="C17" s="39">
        <f>Setup!C32</f>
        <v>0.1</v>
      </c>
      <c r="D17" s="19">
        <f>D$10*$C17</f>
        <v>32000</v>
      </c>
      <c r="E17" s="19">
        <f>E$10*$C17</f>
        <v>32160</v>
      </c>
      <c r="F17" s="19">
        <f>F$10*$C17</f>
        <v>32320.8</v>
      </c>
      <c r="G17" s="19">
        <f>G$10*$C17</f>
        <v>32482.40399999999</v>
      </c>
      <c r="H17" s="19">
        <f>H$10*$C17</f>
        <v>32644.81601999999</v>
      </c>
      <c r="I17" s="19">
        <f>I$10*$C17</f>
        <v>32808.04010009998</v>
      </c>
      <c r="J17" s="19">
        <f>J$10*$C17</f>
        <v>32972.08030060049</v>
      </c>
      <c r="K17" s="19">
        <f>K$10*$C17</f>
        <v>33136.94070210348</v>
      </c>
      <c r="L17" s="19">
        <f>L$10*$C17</f>
        <v>33302.625405614</v>
      </c>
      <c r="M17" s="19">
        <f>M$10*$C17</f>
        <v>33469.13853264206</v>
      </c>
      <c r="N17" s="19">
        <f>N$10*$C17</f>
        <v>33636.48422530527</v>
      </c>
      <c r="O17" s="19">
        <f>O$10*$C17</f>
        <v>30424.19998178861</v>
      </c>
      <c r="P17" s="19">
        <f>P$10*$C17</f>
        <v>30576.32098169755</v>
      </c>
      <c r="Q17" s="36">
        <f>SUM(D17:P17)</f>
        <v>421933.8502498514</v>
      </c>
    </row>
    <row r="18" spans="1:17">
      <c r="A18" s="9" t="str">
        <f>Setup!B33</f>
        <v>Other payer (spare)</v>
      </c>
      <c r="C18" s="39">
        <f>Setup!C33</f>
        <v>0</v>
      </c>
      <c r="D18" s="19">
        <f>D$10*$C18</f>
        <v>0</v>
      </c>
      <c r="E18" s="19">
        <f>E$10*$C18</f>
        <v>0</v>
      </c>
      <c r="F18" s="19">
        <f>F$10*$C18</f>
        <v>0</v>
      </c>
      <c r="G18" s="19">
        <f>G$10*$C18</f>
        <v>0</v>
      </c>
      <c r="H18" s="19">
        <f>H$10*$C18</f>
        <v>0</v>
      </c>
      <c r="I18" s="19">
        <f>I$10*$C18</f>
        <v>0</v>
      </c>
      <c r="J18" s="19">
        <f>J$10*$C18</f>
        <v>0</v>
      </c>
      <c r="K18" s="19">
        <f>K$10*$C18</f>
        <v>0</v>
      </c>
      <c r="L18" s="19">
        <f>L$10*$C18</f>
        <v>0</v>
      </c>
      <c r="M18" s="19">
        <f>M$10*$C18</f>
        <v>0</v>
      </c>
      <c r="N18" s="19">
        <f>N$10*$C18</f>
        <v>0</v>
      </c>
      <c r="O18" s="19">
        <f>O$10*$C18</f>
        <v>0</v>
      </c>
      <c r="P18" s="19">
        <f>P$10*$C18</f>
        <v>0</v>
      </c>
      <c r="Q18" s="36">
        <f>SUM(D18:P18)</f>
        <v>0</v>
      </c>
    </row>
    <row r="20" spans="1:17">
      <c r="A20" s="15" t="s">
        <v>100</v>
      </c>
      <c r="B20" s="15"/>
      <c r="C20" s="15"/>
      <c r="D20" s="15"/>
      <c r="E20" s="15"/>
      <c r="F20" s="15"/>
      <c r="G20" s="15"/>
      <c r="H20" s="15"/>
      <c r="I20" s="15"/>
      <c r="J20" s="15"/>
      <c r="K20" s="15"/>
      <c r="L20" s="15"/>
      <c r="M20" s="15"/>
      <c r="N20" s="15"/>
      <c r="O20" s="15"/>
      <c r="P20" s="15"/>
      <c r="Q20" s="15"/>
    </row>
    <row r="21" spans="1:17">
      <c r="C21" s="38" t="s">
        <v>101</v>
      </c>
    </row>
    <row r="22" spans="1:17">
      <c r="A22" s="9" t="str">
        <f>Setup!B28</f>
        <v>Self pay (cash and card)</v>
      </c>
      <c r="C22" s="40">
        <f>Setup!G28</f>
        <v>0</v>
      </c>
      <c r="D22" s="19">
        <f>IF(D$4-$C22&gt;=1,INDEX($D13:$P13,1,D$4-$C22),0)*(1-Setup!$H28)</f>
        <v>80000</v>
      </c>
      <c r="E22" s="19">
        <f>IF(E$4-$C22&gt;=1,INDEX($D13:$P13,1,E$4-$C22),0)*(1-Setup!$H28)</f>
        <v>80399.99999999999</v>
      </c>
      <c r="F22" s="19">
        <f>IF(F$4-$C22&gt;=1,INDEX($D13:$P13,1,F$4-$C22),0)*(1-Setup!$H28)</f>
        <v>80801.99999999999</v>
      </c>
      <c r="G22" s="19">
        <f>IF(G$4-$C22&gt;=1,INDEX($D13:$P13,1,G$4-$C22),0)*(1-Setup!$H28)</f>
        <v>81206.00999999997</v>
      </c>
      <c r="H22" s="19">
        <f>IF(H$4-$C22&gt;=1,INDEX($D13:$P13,1,H$4-$C22),0)*(1-Setup!$H28)</f>
        <v>81612.04004999997</v>
      </c>
      <c r="I22" s="19">
        <f>IF(I$4-$C22&gt;=1,INDEX($D13:$P13,1,I$4-$C22),0)*(1-Setup!$H28)</f>
        <v>82020.10025024995</v>
      </c>
      <c r="J22" s="19">
        <f>IF(J$4-$C22&gt;=1,INDEX($D13:$P13,1,J$4-$C22),0)*(1-Setup!$H28)</f>
        <v>82430.20075150121</v>
      </c>
      <c r="K22" s="19">
        <f>IF(K$4-$C22&gt;=1,INDEX($D13:$P13,1,K$4-$C22),0)*(1-Setup!$H28)</f>
        <v>82842.3517552587</v>
      </c>
      <c r="L22" s="19">
        <f>IF(L$4-$C22&gt;=1,INDEX($D13:$P13,1,L$4-$C22),0)*(1-Setup!$H28)</f>
        <v>83256.56351403499</v>
      </c>
      <c r="M22" s="19">
        <f>IF(M$4-$C22&gt;=1,INDEX($D13:$P13,1,M$4-$C22),0)*(1-Setup!$H28)</f>
        <v>83672.84633160513</v>
      </c>
      <c r="N22" s="19">
        <f>IF(N$4-$C22&gt;=1,INDEX($D13:$P13,1,N$4-$C22),0)*(1-Setup!$H28)</f>
        <v>84091.21056326317</v>
      </c>
      <c r="O22" s="19">
        <f>IF(O$4-$C22&gt;=1,INDEX($D13:$P13,1,O$4-$C22),0)*(1-Setup!$H28)</f>
        <v>76060.49995447152</v>
      </c>
      <c r="P22" s="19">
        <f>IF(P$4-$C22&gt;=1,INDEX($D13:$P13,1,P$4-$C22),0)*(1-Setup!$H28)</f>
        <v>76440.80245424388</v>
      </c>
      <c r="Q22" s="36">
        <f>SUM(D22:P22)</f>
        <v>1054834.625624628</v>
      </c>
    </row>
    <row r="23" spans="1:17">
      <c r="A23" s="9" t="str">
        <f>Setup!B29</f>
        <v>Insurer A (large network)</v>
      </c>
      <c r="C23" s="40">
        <f>Setup!G29</f>
        <v>6</v>
      </c>
      <c r="D23" s="19">
        <f>IF(D$4-$C23&gt;=1,INDEX($D14:$P14,1,D$4-$C23),0)*(1-Setup!$H29)</f>
        <v>0</v>
      </c>
      <c r="E23" s="19">
        <f>IF(E$4-$C23&gt;=1,INDEX($D14:$P14,1,E$4-$C23),0)*(1-Setup!$H29)</f>
        <v>0</v>
      </c>
      <c r="F23" s="19">
        <f>IF(F$4-$C23&gt;=1,INDEX($D14:$P14,1,F$4-$C23),0)*(1-Setup!$H29)</f>
        <v>0</v>
      </c>
      <c r="G23" s="19">
        <f>IF(G$4-$C23&gt;=1,INDEX($D14:$P14,1,G$4-$C23),0)*(1-Setup!$H29)</f>
        <v>0</v>
      </c>
      <c r="H23" s="19">
        <f>IF(H$4-$C23&gt;=1,INDEX($D14:$P14,1,H$4-$C23),0)*(1-Setup!$H29)</f>
        <v>0</v>
      </c>
      <c r="I23" s="19">
        <f>IF(I$4-$C23&gt;=1,INDEX($D14:$P14,1,I$4-$C23),0)*(1-Setup!$H29)</f>
        <v>0</v>
      </c>
      <c r="J23" s="19">
        <f>IF(J$4-$C23&gt;=1,INDEX($D14:$P14,1,J$4-$C23),0)*(1-Setup!$H29)</f>
        <v>90240</v>
      </c>
      <c r="K23" s="19">
        <f>IF(K$4-$C23&gt;=1,INDEX($D14:$P14,1,K$4-$C23),0)*(1-Setup!$H29)</f>
        <v>90691.19999999998</v>
      </c>
      <c r="L23" s="19">
        <f>IF(L$4-$C23&gt;=1,INDEX($D14:$P14,1,L$4-$C23),0)*(1-Setup!$H29)</f>
        <v>91144.65599999997</v>
      </c>
      <c r="M23" s="19">
        <f>IF(M$4-$C23&gt;=1,INDEX($D14:$P14,1,M$4-$C23),0)*(1-Setup!$H29)</f>
        <v>91600.37927999995</v>
      </c>
      <c r="N23" s="19">
        <f>IF(N$4-$C23&gt;=1,INDEX($D14:$P14,1,N$4-$C23),0)*(1-Setup!$H29)</f>
        <v>92058.38117639995</v>
      </c>
      <c r="O23" s="19">
        <f>IF(O$4-$C23&gt;=1,INDEX($D14:$P14,1,O$4-$C23),0)*(1-Setup!$H29)</f>
        <v>92518.67308228194</v>
      </c>
      <c r="P23" s="19">
        <f>IF(P$4-$C23&gt;=1,INDEX($D14:$P14,1,P$4-$C23),0)*(1-Setup!$H29)</f>
        <v>92981.26644769336</v>
      </c>
      <c r="Q23" s="36">
        <f>SUM(D23:P23)</f>
        <v>641234.5559863751</v>
      </c>
    </row>
    <row r="24" spans="1:17">
      <c r="A24" s="9" t="str">
        <f>Setup!B30</f>
        <v>Insurer B</v>
      </c>
      <c r="C24" s="40">
        <f>Setup!G30</f>
        <v>9</v>
      </c>
      <c r="D24" s="19">
        <f>IF(D$4-$C24&gt;=1,INDEX($D15:$P15,1,D$4-$C24),0)*(1-Setup!$H30)</f>
        <v>0</v>
      </c>
      <c r="E24" s="19">
        <f>IF(E$4-$C24&gt;=1,INDEX($D15:$P15,1,E$4-$C24),0)*(1-Setup!$H30)</f>
        <v>0</v>
      </c>
      <c r="F24" s="19">
        <f>IF(F$4-$C24&gt;=1,INDEX($D15:$P15,1,F$4-$C24),0)*(1-Setup!$H30)</f>
        <v>0</v>
      </c>
      <c r="G24" s="19">
        <f>IF(G$4-$C24&gt;=1,INDEX($D15:$P15,1,G$4-$C24),0)*(1-Setup!$H30)</f>
        <v>0</v>
      </c>
      <c r="H24" s="19">
        <f>IF(H$4-$C24&gt;=1,INDEX($D15:$P15,1,H$4-$C24),0)*(1-Setup!$H30)</f>
        <v>0</v>
      </c>
      <c r="I24" s="19">
        <f>IF(I$4-$C24&gt;=1,INDEX($D15:$P15,1,I$4-$C24),0)*(1-Setup!$H30)</f>
        <v>0</v>
      </c>
      <c r="J24" s="19">
        <f>IF(J$4-$C24&gt;=1,INDEX($D15:$P15,1,J$4-$C24),0)*(1-Setup!$H30)</f>
        <v>0</v>
      </c>
      <c r="K24" s="19">
        <f>IF(K$4-$C24&gt;=1,INDEX($D15:$P15,1,K$4-$C24),0)*(1-Setup!$H30)</f>
        <v>0</v>
      </c>
      <c r="L24" s="19">
        <f>IF(L$4-$C24&gt;=1,INDEX($D15:$P15,1,L$4-$C24),0)*(1-Setup!$H30)</f>
        <v>0</v>
      </c>
      <c r="M24" s="19">
        <f>IF(M$4-$C24&gt;=1,INDEX($D15:$P15,1,M$4-$C24),0)*(1-Setup!$H30)</f>
        <v>58880</v>
      </c>
      <c r="N24" s="19">
        <f>IF(N$4-$C24&gt;=1,INDEX($D15:$P15,1,N$4-$C24),0)*(1-Setup!$H30)</f>
        <v>59174.39999999999</v>
      </c>
      <c r="O24" s="19">
        <f>IF(O$4-$C24&gt;=1,INDEX($D15:$P15,1,O$4-$C24),0)*(1-Setup!$H30)</f>
        <v>59470.272</v>
      </c>
      <c r="P24" s="19">
        <f>IF(P$4-$C24&gt;=1,INDEX($D15:$P15,1,P$4-$C24),0)*(1-Setup!$H30)</f>
        <v>59767.62335999998</v>
      </c>
      <c r="Q24" s="36">
        <f>SUM(D24:P24)</f>
        <v>237292.29536</v>
      </c>
    </row>
    <row r="25" spans="1:17">
      <c r="A25" s="9" t="str">
        <f>Setup!B31</f>
        <v>Government schemes</v>
      </c>
      <c r="C25" s="40">
        <f>Setup!G31</f>
        <v>11</v>
      </c>
      <c r="D25" s="19">
        <f>IF(D$4-$C25&gt;=1,INDEX($D16:$P16,1,D$4-$C25),0)*(1-Setup!$H31)</f>
        <v>0</v>
      </c>
      <c r="E25" s="19">
        <f>IF(E$4-$C25&gt;=1,INDEX($D16:$P16,1,E$4-$C25),0)*(1-Setup!$H31)</f>
        <v>0</v>
      </c>
      <c r="F25" s="19">
        <f>IF(F$4-$C25&gt;=1,INDEX($D16:$P16,1,F$4-$C25),0)*(1-Setup!$H31)</f>
        <v>0</v>
      </c>
      <c r="G25" s="19">
        <f>IF(G$4-$C25&gt;=1,INDEX($D16:$P16,1,G$4-$C25),0)*(1-Setup!$H31)</f>
        <v>0</v>
      </c>
      <c r="H25" s="19">
        <f>IF(H$4-$C25&gt;=1,INDEX($D16:$P16,1,H$4-$C25),0)*(1-Setup!$H31)</f>
        <v>0</v>
      </c>
      <c r="I25" s="19">
        <f>IF(I$4-$C25&gt;=1,INDEX($D16:$P16,1,I$4-$C25),0)*(1-Setup!$H31)</f>
        <v>0</v>
      </c>
      <c r="J25" s="19">
        <f>IF(J$4-$C25&gt;=1,INDEX($D16:$P16,1,J$4-$C25),0)*(1-Setup!$H31)</f>
        <v>0</v>
      </c>
      <c r="K25" s="19">
        <f>IF(K$4-$C25&gt;=1,INDEX($D16:$P16,1,K$4-$C25),0)*(1-Setup!$H31)</f>
        <v>0</v>
      </c>
      <c r="L25" s="19">
        <f>IF(L$4-$C25&gt;=1,INDEX($D16:$P16,1,L$4-$C25),0)*(1-Setup!$H31)</f>
        <v>0</v>
      </c>
      <c r="M25" s="19">
        <f>IF(M$4-$C25&gt;=1,INDEX($D16:$P16,1,M$4-$C25),0)*(1-Setup!$H31)</f>
        <v>0</v>
      </c>
      <c r="N25" s="19">
        <f>IF(N$4-$C25&gt;=1,INDEX($D16:$P16,1,N$4-$C25),0)*(1-Setup!$H31)</f>
        <v>0</v>
      </c>
      <c r="O25" s="19">
        <f>IF(O$4-$C25&gt;=1,INDEX($D16:$P16,1,O$4-$C25),0)*(1-Setup!$H31)</f>
        <v>45600</v>
      </c>
      <c r="P25" s="19">
        <f>IF(P$4-$C25&gt;=1,INDEX($D16:$P16,1,P$4-$C25),0)*(1-Setup!$H31)</f>
        <v>45827.99999999999</v>
      </c>
      <c r="Q25" s="36">
        <f>SUM(D25:P25)</f>
        <v>91428</v>
      </c>
    </row>
    <row r="26" spans="1:17">
      <c r="A26" s="9" t="str">
        <f>Setup!B32</f>
        <v>Corporate accounts</v>
      </c>
      <c r="C26" s="40">
        <f>Setup!G32</f>
        <v>4</v>
      </c>
      <c r="D26" s="19">
        <f>IF(D$4-$C26&gt;=1,INDEX($D17:$P17,1,D$4-$C26),0)*(1-Setup!$H32)</f>
        <v>0</v>
      </c>
      <c r="E26" s="19">
        <f>IF(E$4-$C26&gt;=1,INDEX($D17:$P17,1,E$4-$C26),0)*(1-Setup!$H32)</f>
        <v>0</v>
      </c>
      <c r="F26" s="19">
        <f>IF(F$4-$C26&gt;=1,INDEX($D17:$P17,1,F$4-$C26),0)*(1-Setup!$H32)</f>
        <v>0</v>
      </c>
      <c r="G26" s="19">
        <f>IF(G$4-$C26&gt;=1,INDEX($D17:$P17,1,G$4-$C26),0)*(1-Setup!$H32)</f>
        <v>0</v>
      </c>
      <c r="H26" s="19">
        <f>IF(H$4-$C26&gt;=1,INDEX($D17:$P17,1,H$4-$C26),0)*(1-Setup!$H32)</f>
        <v>31360</v>
      </c>
      <c r="I26" s="19">
        <f>IF(I$4-$C26&gt;=1,INDEX($D17:$P17,1,I$4-$C26),0)*(1-Setup!$H32)</f>
        <v>31516.8</v>
      </c>
      <c r="J26" s="19">
        <f>IF(J$4-$C26&gt;=1,INDEX($D17:$P17,1,J$4-$C26),0)*(1-Setup!$H32)</f>
        <v>31674.38399999999</v>
      </c>
      <c r="K26" s="19">
        <f>IF(K$4-$C26&gt;=1,INDEX($D17:$P17,1,K$4-$C26),0)*(1-Setup!$H32)</f>
        <v>31832.75591999999</v>
      </c>
      <c r="L26" s="19">
        <f>IF(L$4-$C26&gt;=1,INDEX($D17:$P17,1,L$4-$C26),0)*(1-Setup!$H32)</f>
        <v>31991.91969959999</v>
      </c>
      <c r="M26" s="19">
        <f>IF(M$4-$C26&gt;=1,INDEX($D17:$P17,1,M$4-$C26),0)*(1-Setup!$H32)</f>
        <v>32151.87929809798</v>
      </c>
      <c r="N26" s="19">
        <f>IF(N$4-$C26&gt;=1,INDEX($D17:$P17,1,N$4-$C26),0)*(1-Setup!$H32)</f>
        <v>32312.63869458848</v>
      </c>
      <c r="O26" s="19">
        <f>IF(O$4-$C26&gt;=1,INDEX($D17:$P17,1,O$4-$C26),0)*(1-Setup!$H32)</f>
        <v>32474.20188806141</v>
      </c>
      <c r="P26" s="19">
        <f>IF(P$4-$C26&gt;=1,INDEX($D17:$P17,1,P$4-$C26),0)*(1-Setup!$H32)</f>
        <v>32636.57289750172</v>
      </c>
      <c r="Q26" s="36">
        <f>SUM(D26:P26)</f>
        <v>287951.1523978495</v>
      </c>
    </row>
    <row r="27" spans="1:17">
      <c r="A27" s="9" t="str">
        <f>Setup!B33</f>
        <v>Other payer (spare)</v>
      </c>
      <c r="C27" s="40">
        <f>Setup!G33</f>
        <v>4</v>
      </c>
      <c r="D27" s="19">
        <f>IF(D$4-$C27&gt;=1,INDEX($D18:$P18,1,D$4-$C27),0)*(1-Setup!$H33)</f>
        <v>0</v>
      </c>
      <c r="E27" s="19">
        <f>IF(E$4-$C27&gt;=1,INDEX($D18:$P18,1,E$4-$C27),0)*(1-Setup!$H33)</f>
        <v>0</v>
      </c>
      <c r="F27" s="19">
        <f>IF(F$4-$C27&gt;=1,INDEX($D18:$P18,1,F$4-$C27),0)*(1-Setup!$H33)</f>
        <v>0</v>
      </c>
      <c r="G27" s="19">
        <f>IF(G$4-$C27&gt;=1,INDEX($D18:$P18,1,G$4-$C27),0)*(1-Setup!$H33)</f>
        <v>0</v>
      </c>
      <c r="H27" s="19">
        <f>IF(H$4-$C27&gt;=1,INDEX($D18:$P18,1,H$4-$C27),0)*(1-Setup!$H33)</f>
        <v>0</v>
      </c>
      <c r="I27" s="19">
        <f>IF(I$4-$C27&gt;=1,INDEX($D18:$P18,1,I$4-$C27),0)*(1-Setup!$H33)</f>
        <v>0</v>
      </c>
      <c r="J27" s="19">
        <f>IF(J$4-$C27&gt;=1,INDEX($D18:$P18,1,J$4-$C27),0)*(1-Setup!$H33)</f>
        <v>0</v>
      </c>
      <c r="K27" s="19">
        <f>IF(K$4-$C27&gt;=1,INDEX($D18:$P18,1,K$4-$C27),0)*(1-Setup!$H33)</f>
        <v>0</v>
      </c>
      <c r="L27" s="19">
        <f>IF(L$4-$C27&gt;=1,INDEX($D18:$P18,1,L$4-$C27),0)*(1-Setup!$H33)</f>
        <v>0</v>
      </c>
      <c r="M27" s="19">
        <f>IF(M$4-$C27&gt;=1,INDEX($D18:$P18,1,M$4-$C27),0)*(1-Setup!$H33)</f>
        <v>0</v>
      </c>
      <c r="N27" s="19">
        <f>IF(N$4-$C27&gt;=1,INDEX($D18:$P18,1,N$4-$C27),0)*(1-Setup!$H33)</f>
        <v>0</v>
      </c>
      <c r="O27" s="19">
        <f>IF(O$4-$C27&gt;=1,INDEX($D18:$P18,1,O$4-$C27),0)*(1-Setup!$H33)</f>
        <v>0</v>
      </c>
      <c r="P27" s="19">
        <f>IF(P$4-$C27&gt;=1,INDEX($D18:$P18,1,P$4-$C27),0)*(1-Setup!$H33)</f>
        <v>0</v>
      </c>
      <c r="Q27" s="36">
        <f>SUM(D27:P27)</f>
        <v>0</v>
      </c>
    </row>
    <row r="28" spans="1:17">
      <c r="A28" s="8" t="s">
        <v>102</v>
      </c>
      <c r="D28" s="41">
        <f>'Opening Items'!D10</f>
        <v>226000</v>
      </c>
      <c r="E28" s="41">
        <f>'Opening Items'!E10</f>
        <v>226000</v>
      </c>
      <c r="F28" s="41">
        <f>'Opening Items'!F10</f>
        <v>226000</v>
      </c>
      <c r="G28" s="41">
        <f>'Opening Items'!G10</f>
        <v>226000</v>
      </c>
      <c r="H28" s="41">
        <f>'Opening Items'!H10</f>
        <v>195000</v>
      </c>
      <c r="I28" s="41">
        <f>'Opening Items'!I10</f>
        <v>195000</v>
      </c>
      <c r="J28" s="41">
        <f>'Opening Items'!J10</f>
        <v>104000</v>
      </c>
      <c r="K28" s="41">
        <f>'Opening Items'!K10</f>
        <v>104000</v>
      </c>
      <c r="L28" s="41">
        <f>'Opening Items'!L10</f>
        <v>104000</v>
      </c>
      <c r="M28" s="41">
        <f>'Opening Items'!M10</f>
        <v>46000</v>
      </c>
      <c r="N28" s="41">
        <f>'Opening Items'!N10</f>
        <v>46000</v>
      </c>
      <c r="O28" s="41">
        <f>'Opening Items'!O10</f>
        <v>0</v>
      </c>
      <c r="P28" s="41">
        <f>'Opening Items'!P10</f>
        <v>0</v>
      </c>
      <c r="Q28" s="36">
        <f>SUM(D28:P28)</f>
        <v>1698000</v>
      </c>
    </row>
    <row r="29" spans="1:17">
      <c r="A29" s="8" t="s">
        <v>91</v>
      </c>
      <c r="D29" s="41">
        <f>'Opening Items'!D18</f>
        <v>0</v>
      </c>
      <c r="E29" s="41">
        <f>'Opening Items'!E18</f>
        <v>0</v>
      </c>
      <c r="F29" s="41">
        <f>'Opening Items'!F18</f>
        <v>0</v>
      </c>
      <c r="G29" s="41">
        <f>'Opening Items'!G18</f>
        <v>0</v>
      </c>
      <c r="H29" s="41">
        <f>'Opening Items'!H18</f>
        <v>0</v>
      </c>
      <c r="I29" s="41">
        <f>'Opening Items'!I18</f>
        <v>0</v>
      </c>
      <c r="J29" s="41">
        <f>'Opening Items'!J18</f>
        <v>0</v>
      </c>
      <c r="K29" s="41">
        <f>'Opening Items'!K18</f>
        <v>0</v>
      </c>
      <c r="L29" s="41">
        <f>'Opening Items'!L18</f>
        <v>25000</v>
      </c>
      <c r="M29" s="41">
        <f>'Opening Items'!M18</f>
        <v>0</v>
      </c>
      <c r="N29" s="41">
        <f>'Opening Items'!N18</f>
        <v>0</v>
      </c>
      <c r="O29" s="41">
        <f>'Opening Items'!O18</f>
        <v>0</v>
      </c>
      <c r="P29" s="41">
        <f>'Opening Items'!P18</f>
        <v>0</v>
      </c>
      <c r="Q29" s="36">
        <f>SUM(D29:P29)</f>
        <v>25000</v>
      </c>
    </row>
    <row r="30" spans="1:17">
      <c r="A30" s="29" t="s">
        <v>103</v>
      </c>
      <c r="B30" s="29"/>
      <c r="C30" s="29"/>
      <c r="D30" s="36">
        <f>SUM(D22:D29)</f>
        <v>306000</v>
      </c>
      <c r="E30" s="36">
        <f>SUM(E22:E29)</f>
        <v>306400</v>
      </c>
      <c r="F30" s="36">
        <f>SUM(F22:F29)</f>
        <v>306802</v>
      </c>
      <c r="G30" s="36">
        <f>SUM(G22:G29)</f>
        <v>307206.01</v>
      </c>
      <c r="H30" s="36">
        <f>SUM(H22:H29)</f>
        <v>307972.04005</v>
      </c>
      <c r="I30" s="36">
        <f>SUM(I22:I29)</f>
        <v>308536.9002502499</v>
      </c>
      <c r="J30" s="36">
        <f>SUM(J22:J29)</f>
        <v>308344.5847515012</v>
      </c>
      <c r="K30" s="36">
        <f>SUM(K22:K29)</f>
        <v>309366.3076752587</v>
      </c>
      <c r="L30" s="36">
        <f>SUM(L22:L29)</f>
        <v>335393.139213635</v>
      </c>
      <c r="M30" s="36">
        <f>SUM(M22:M29)</f>
        <v>312305.1049097031</v>
      </c>
      <c r="N30" s="36">
        <f>SUM(N22:N29)</f>
        <v>313636.6304342516</v>
      </c>
      <c r="O30" s="36">
        <f>SUM(O22:O29)</f>
        <v>306123.6469248148</v>
      </c>
      <c r="P30" s="36">
        <f>SUM(P22:P29)</f>
        <v>307654.2651594389</v>
      </c>
      <c r="Q30" s="36">
        <f>SUM(D30:P30)</f>
        <v>4035740.629368854</v>
      </c>
    </row>
  </sheetData>
  <mergeCells count="5">
    <mergeCell ref="A1:Q1"/>
    <mergeCell ref="A2:Q2"/>
    <mergeCell ref="A8:Q8"/>
    <mergeCell ref="A11:Q11"/>
    <mergeCell ref="A20:Q20"/>
  </mergeCells>
  <pageMargins left="0.7" right="0.7" top="0.75" bottom="0.75" header="0.3" footer="0.3"/>
  <pageSetup paperSize="9" fitToHeight="0" orientation="landscape"/>
  <headerFooter>
    <oddFooter>&amp;L&amp;"Arial,Regular"&amp;8OzaniX Partners  |  ozanixpartners.com&amp;R&amp;"Arial,Regular"&amp;8&amp;A  |  Page &amp;P of &amp;N</oddFooter>
  </headerFooter>
</worksheet>
</file>

<file path=xl/worksheets/sheet5.xml><?xml version="1.0" encoding="utf-8"?>
<worksheet xmlns="http://schemas.openxmlformats.org/spreadsheetml/2006/main" xmlns:r="http://schemas.openxmlformats.org/officeDocument/2006/relationships">
  <sheetPr>
    <tabColor rgb="FFC4A466"/>
    <pageSetUpPr fitToPage="1"/>
  </sheetPr>
  <dimension ref="A1:U46"/>
  <sheetViews>
    <sheetView showGridLines="0" zoomScale="90" zoomScaleNormal="90" workbookViewId="0">
      <pane xSplit="2" ySplit="8" topLeftCell="C9" activePane="bottomRight" state="frozen"/>
      <selection pane="topRight" activeCell="C1" sqref="C1"/>
      <selection pane="bottomLeft" activeCell="A9" sqref="A9"/>
      <selection pane="bottomRight"/>
    </sheetView>
  </sheetViews>
  <sheetFormatPr defaultRowHeight="15"/>
  <cols>
    <col min="1" max="1" width="4.7109375" customWidth="1"/>
    <col min="2" max="2" width="36.7109375" customWidth="1"/>
    <col min="3" max="3" width="31.7109375" customWidth="1"/>
    <col min="4" max="4" width="13.7109375" customWidth="1"/>
    <col min="5" max="5" width="14.7109375" customWidth="1"/>
    <col min="6" max="6" width="13.7109375" customWidth="1"/>
    <col min="7" max="7" width="42.7109375" customWidth="1"/>
    <col min="8" max="20" width="11.28515625" customWidth="1"/>
    <col min="21" max="21" width="13.7109375" customWidth="1"/>
  </cols>
  <sheetData>
    <row r="1" spans="1:21" ht="34" customHeight="1">
      <c r="A1" s="12" t="s">
        <v>104</v>
      </c>
      <c r="B1" s="12"/>
      <c r="C1" s="12"/>
      <c r="D1" s="12"/>
      <c r="E1" s="12"/>
      <c r="F1" s="12"/>
      <c r="G1" s="12"/>
      <c r="H1" s="12"/>
      <c r="I1" s="12"/>
      <c r="J1" s="12"/>
      <c r="K1" s="12"/>
      <c r="L1" s="12"/>
      <c r="M1" s="12"/>
      <c r="N1" s="12"/>
      <c r="O1" s="12"/>
      <c r="P1" s="12"/>
      <c r="Q1" s="12"/>
      <c r="R1" s="12"/>
      <c r="S1" s="12"/>
      <c r="T1" s="12"/>
      <c r="U1" s="12"/>
    </row>
    <row r="2" spans="1:21" ht="20" customHeight="1">
      <c r="A2" s="13" t="s">
        <v>105</v>
      </c>
      <c r="B2" s="13"/>
      <c r="C2" s="13"/>
      <c r="D2" s="13"/>
      <c r="E2" s="13"/>
      <c r="F2" s="13"/>
      <c r="G2" s="13"/>
      <c r="H2" s="13"/>
      <c r="I2" s="13"/>
      <c r="J2" s="13"/>
      <c r="K2" s="13"/>
      <c r="L2" s="13"/>
      <c r="M2" s="13"/>
      <c r="N2" s="13"/>
      <c r="O2" s="13"/>
      <c r="P2" s="13"/>
      <c r="Q2" s="13"/>
      <c r="R2" s="13"/>
      <c r="S2" s="13"/>
      <c r="T2" s="13"/>
      <c r="U2" s="13"/>
    </row>
    <row r="4" spans="1:21" ht="18" customHeight="1">
      <c r="G4" s="32" t="s">
        <v>80</v>
      </c>
      <c r="H4" s="33">
        <v>1</v>
      </c>
      <c r="I4" s="33">
        <v>2</v>
      </c>
      <c r="J4" s="33">
        <v>3</v>
      </c>
      <c r="K4" s="33">
        <v>4</v>
      </c>
      <c r="L4" s="33">
        <v>5</v>
      </c>
      <c r="M4" s="33">
        <v>6</v>
      </c>
      <c r="N4" s="33">
        <v>7</v>
      </c>
      <c r="O4" s="33">
        <v>8</v>
      </c>
      <c r="P4" s="33">
        <v>9</v>
      </c>
      <c r="Q4" s="33">
        <v>10</v>
      </c>
      <c r="R4" s="33">
        <v>11</v>
      </c>
      <c r="S4" s="33">
        <v>12</v>
      </c>
      <c r="T4" s="33">
        <v>13</v>
      </c>
    </row>
    <row r="5" spans="1:21">
      <c r="G5" s="21" t="s">
        <v>81</v>
      </c>
      <c r="H5" s="34">
        <f>Revenue!D5</f>
        <v>46300</v>
      </c>
      <c r="I5" s="34">
        <f>Revenue!E5</f>
        <v>46307</v>
      </c>
      <c r="J5" s="34">
        <f>Revenue!F5</f>
        <v>46314</v>
      </c>
      <c r="K5" s="34">
        <f>Revenue!G5</f>
        <v>46321</v>
      </c>
      <c r="L5" s="34">
        <f>Revenue!H5</f>
        <v>46328</v>
      </c>
      <c r="M5" s="34">
        <f>Revenue!I5</f>
        <v>46335</v>
      </c>
      <c r="N5" s="34">
        <f>Revenue!J5</f>
        <v>46342</v>
      </c>
      <c r="O5" s="34">
        <f>Revenue!K5</f>
        <v>46349</v>
      </c>
      <c r="P5" s="34">
        <f>Revenue!L5</f>
        <v>46356</v>
      </c>
      <c r="Q5" s="34">
        <f>Revenue!M5</f>
        <v>46363</v>
      </c>
      <c r="R5" s="34">
        <f>Revenue!N5</f>
        <v>46370</v>
      </c>
      <c r="S5" s="34">
        <f>Revenue!O5</f>
        <v>46377</v>
      </c>
      <c r="T5" s="34">
        <f>Revenue!P5</f>
        <v>46384</v>
      </c>
    </row>
    <row r="6" spans="1:21">
      <c r="G6" s="21" t="s">
        <v>82</v>
      </c>
      <c r="H6" s="35">
        <f>H5+6</f>
        <v>46306</v>
      </c>
      <c r="I6" s="35">
        <f>I5+6</f>
        <v>46313</v>
      </c>
      <c r="J6" s="35">
        <f>J5+6</f>
        <v>46320</v>
      </c>
      <c r="K6" s="35">
        <f>K5+6</f>
        <v>46327</v>
      </c>
      <c r="L6" s="35">
        <f>L5+6</f>
        <v>46334</v>
      </c>
      <c r="M6" s="35">
        <f>M5+6</f>
        <v>46341</v>
      </c>
      <c r="N6" s="35">
        <f>N5+6</f>
        <v>46348</v>
      </c>
      <c r="O6" s="35">
        <f>O5+6</f>
        <v>46355</v>
      </c>
      <c r="P6" s="35">
        <f>P5+6</f>
        <v>46362</v>
      </c>
      <c r="Q6" s="35">
        <f>Q5+6</f>
        <v>46369</v>
      </c>
      <c r="R6" s="35">
        <f>R5+6</f>
        <v>46376</v>
      </c>
      <c r="S6" s="35">
        <f>S5+6</f>
        <v>46383</v>
      </c>
      <c r="T6" s="35">
        <f>T5+6</f>
        <v>46390</v>
      </c>
    </row>
    <row r="8" spans="1:21" ht="32" customHeight="1">
      <c r="A8" s="22" t="s">
        <v>106</v>
      </c>
      <c r="B8" s="21" t="s">
        <v>107</v>
      </c>
      <c r="C8" s="21" t="s">
        <v>108</v>
      </c>
      <c r="D8" s="22" t="s">
        <v>109</v>
      </c>
      <c r="E8" s="22" t="s">
        <v>110</v>
      </c>
      <c r="F8" s="22" t="s">
        <v>111</v>
      </c>
      <c r="G8" s="21" t="s">
        <v>112</v>
      </c>
      <c r="H8" s="22" t="s">
        <v>113</v>
      </c>
      <c r="I8" s="22" t="s">
        <v>114</v>
      </c>
      <c r="J8" s="22" t="s">
        <v>115</v>
      </c>
      <c r="K8" s="22" t="s">
        <v>116</v>
      </c>
      <c r="L8" s="22" t="s">
        <v>117</v>
      </c>
      <c r="M8" s="22" t="s">
        <v>118</v>
      </c>
      <c r="N8" s="22" t="s">
        <v>119</v>
      </c>
      <c r="O8" s="22" t="s">
        <v>120</v>
      </c>
      <c r="P8" s="22" t="s">
        <v>121</v>
      </c>
      <c r="Q8" s="22" t="s">
        <v>122</v>
      </c>
      <c r="R8" s="22" t="s">
        <v>123</v>
      </c>
      <c r="S8" s="22" t="s">
        <v>124</v>
      </c>
      <c r="T8" s="22" t="s">
        <v>125</v>
      </c>
      <c r="U8" s="22" t="s">
        <v>126</v>
      </c>
    </row>
    <row r="9" spans="1:21">
      <c r="A9" s="42">
        <v>1</v>
      </c>
      <c r="B9" s="7" t="s">
        <v>127</v>
      </c>
      <c r="C9" s="7" t="s">
        <v>0</v>
      </c>
      <c r="D9" s="7" t="s">
        <v>15</v>
      </c>
      <c r="E9" s="18">
        <v>285000</v>
      </c>
      <c r="F9" s="17">
        <v>46323</v>
      </c>
      <c r="G9" s="7" t="s">
        <v>128</v>
      </c>
      <c r="H9" s="19">
        <f>IF(OR($E9="",$F9="",$D9=""),0,IF(OR($C9="Loan and finance repayments",$C9="VAT and taxes",$C9="Capital expenditure",$C9="Licences and regulatory fees"),1,1+CostAdj)*$E9*IF($D9="Weekly",(MAX(0,INT((H$6-$F9)/7)+1)-MAX(0,INT((H$5-1-$F9)/7)+1)),IF($D9="Fortnightly",(MAX(0,INT((H$6-$F9)/14)+1)-MAX(0,INT((H$5-1-$F9)/14)+1)),IF($D9="Monthly",((DATE(YEAR(H$5),MONTH(H$5),MIN(DAY($F9),DAY(EOMONTH(H$5,0))))&gt;=MAX(H$5,$F9))*(DATE(YEAR(H$5),MONTH(H$5),MIN(DAY($F9),DAY(EOMONTH(H$5,0))))&lt;=H$6)*(MOD((YEAR(H$5)-YEAR($F9))*12+MONTH(H$5)-MONTH($F9),1)=0)+(MONTH(H$6)&lt;&gt;MONTH(H$5))*(DATE(YEAR(H$6),MONTH(H$6),MIN(DAY($F9),DAY(EOMONTH(H$6,0))))&gt;=$F9)*(DATE(YEAR(H$6),MONTH(H$6),MIN(DAY($F9),DAY(EOMONTH(H$6,0))))&gt;=H$5)*(DATE(YEAR(H$6),MONTH(H$6),MIN(DAY($F9),DAY(EOMONTH(H$6,0))))&lt;=H$6)*(MOD((YEAR(H$6)-YEAR($F9))*12+MONTH(H$6)-MONTH($F9),1)=0)),IF($D9="Quarterly",((DATE(YEAR(H$5),MONTH(H$5),MIN(DAY($F9),DAY(EOMONTH(H$5,0))))&gt;=MAX(H$5,$F9))*(DATE(YEAR(H$5),MONTH(H$5),MIN(DAY($F9),DAY(EOMONTH(H$5,0))))&lt;=H$6)*(MOD((YEAR(H$5)-YEAR($F9))*12+MONTH(H$5)-MONTH($F9),3)=0)+(MONTH(H$6)&lt;&gt;MONTH(H$5))*(DATE(YEAR(H$6),MONTH(H$6),MIN(DAY($F9),DAY(EOMONTH(H$6,0))))&gt;=$F9)*(DATE(YEAR(H$6),MONTH(H$6),MIN(DAY($F9),DAY(EOMONTH(H$6,0))))&gt;=H$5)*(DATE(YEAR(H$6),MONTH(H$6),MIN(DAY($F9),DAY(EOMONTH(H$6,0))))&lt;=H$6)*(MOD((YEAR(H$6)-YEAR($F9))*12+MONTH(H$6)-MONTH($F9),3)=0)),IF($D9="One-off",($F9&gt;=H$5)*($F9&lt;=H$6),0))))))</f>
        <v>0</v>
      </c>
      <c r="I9" s="19">
        <f>IF(OR($E9="",$F9="",$D9=""),0,IF(OR($C9="Loan and finance repayments",$C9="VAT and taxes",$C9="Capital expenditure",$C9="Licences and regulatory fees"),1,1+CostAdj)*$E9*IF($D9="Weekly",(MAX(0,INT((I$6-$F9)/7)+1)-MAX(0,INT((I$5-1-$F9)/7)+1)),IF($D9="Fortnightly",(MAX(0,INT((I$6-$F9)/14)+1)-MAX(0,INT((I$5-1-$F9)/14)+1)),IF($D9="Monthly",((DATE(YEAR(I$5),MONTH(I$5),MIN(DAY($F9),DAY(EOMONTH(I$5,0))))&gt;=MAX(I$5,$F9))*(DATE(YEAR(I$5),MONTH(I$5),MIN(DAY($F9),DAY(EOMONTH(I$5,0))))&lt;=I$6)*(MOD((YEAR(I$5)-YEAR($F9))*12+MONTH(I$5)-MONTH($F9),1)=0)+(MONTH(I$6)&lt;&gt;MONTH(I$5))*(DATE(YEAR(I$6),MONTH(I$6),MIN(DAY($F9),DAY(EOMONTH(I$6,0))))&gt;=$F9)*(DATE(YEAR(I$6),MONTH(I$6),MIN(DAY($F9),DAY(EOMONTH(I$6,0))))&gt;=I$5)*(DATE(YEAR(I$6),MONTH(I$6),MIN(DAY($F9),DAY(EOMONTH(I$6,0))))&lt;=I$6)*(MOD((YEAR(I$6)-YEAR($F9))*12+MONTH(I$6)-MONTH($F9),1)=0)),IF($D9="Quarterly",((DATE(YEAR(I$5),MONTH(I$5),MIN(DAY($F9),DAY(EOMONTH(I$5,0))))&gt;=MAX(I$5,$F9))*(DATE(YEAR(I$5),MONTH(I$5),MIN(DAY($F9),DAY(EOMONTH(I$5,0))))&lt;=I$6)*(MOD((YEAR(I$5)-YEAR($F9))*12+MONTH(I$5)-MONTH($F9),3)=0)+(MONTH(I$6)&lt;&gt;MONTH(I$5))*(DATE(YEAR(I$6),MONTH(I$6),MIN(DAY($F9),DAY(EOMONTH(I$6,0))))&gt;=$F9)*(DATE(YEAR(I$6),MONTH(I$6),MIN(DAY($F9),DAY(EOMONTH(I$6,0))))&gt;=I$5)*(DATE(YEAR(I$6),MONTH(I$6),MIN(DAY($F9),DAY(EOMONTH(I$6,0))))&lt;=I$6)*(MOD((YEAR(I$6)-YEAR($F9))*12+MONTH(I$6)-MONTH($F9),3)=0)),IF($D9="One-off",($F9&gt;=I$5)*($F9&lt;=I$6),0))))))</f>
        <v>0</v>
      </c>
      <c r="J9" s="19">
        <f>IF(OR($E9="",$F9="",$D9=""),0,IF(OR($C9="Loan and finance repayments",$C9="VAT and taxes",$C9="Capital expenditure",$C9="Licences and regulatory fees"),1,1+CostAdj)*$E9*IF($D9="Weekly",(MAX(0,INT((J$6-$F9)/7)+1)-MAX(0,INT((J$5-1-$F9)/7)+1)),IF($D9="Fortnightly",(MAX(0,INT((J$6-$F9)/14)+1)-MAX(0,INT((J$5-1-$F9)/14)+1)),IF($D9="Monthly",((DATE(YEAR(J$5),MONTH(J$5),MIN(DAY($F9),DAY(EOMONTH(J$5,0))))&gt;=MAX(J$5,$F9))*(DATE(YEAR(J$5),MONTH(J$5),MIN(DAY($F9),DAY(EOMONTH(J$5,0))))&lt;=J$6)*(MOD((YEAR(J$5)-YEAR($F9))*12+MONTH(J$5)-MONTH($F9),1)=0)+(MONTH(J$6)&lt;&gt;MONTH(J$5))*(DATE(YEAR(J$6),MONTH(J$6),MIN(DAY($F9),DAY(EOMONTH(J$6,0))))&gt;=$F9)*(DATE(YEAR(J$6),MONTH(J$6),MIN(DAY($F9),DAY(EOMONTH(J$6,0))))&gt;=J$5)*(DATE(YEAR(J$6),MONTH(J$6),MIN(DAY($F9),DAY(EOMONTH(J$6,0))))&lt;=J$6)*(MOD((YEAR(J$6)-YEAR($F9))*12+MONTH(J$6)-MONTH($F9),1)=0)),IF($D9="Quarterly",((DATE(YEAR(J$5),MONTH(J$5),MIN(DAY($F9),DAY(EOMONTH(J$5,0))))&gt;=MAX(J$5,$F9))*(DATE(YEAR(J$5),MONTH(J$5),MIN(DAY($F9),DAY(EOMONTH(J$5,0))))&lt;=J$6)*(MOD((YEAR(J$5)-YEAR($F9))*12+MONTH(J$5)-MONTH($F9),3)=0)+(MONTH(J$6)&lt;&gt;MONTH(J$5))*(DATE(YEAR(J$6),MONTH(J$6),MIN(DAY($F9),DAY(EOMONTH(J$6,0))))&gt;=$F9)*(DATE(YEAR(J$6),MONTH(J$6),MIN(DAY($F9),DAY(EOMONTH(J$6,0))))&gt;=J$5)*(DATE(YEAR(J$6),MONTH(J$6),MIN(DAY($F9),DAY(EOMONTH(J$6,0))))&lt;=J$6)*(MOD((YEAR(J$6)-YEAR($F9))*12+MONTH(J$6)-MONTH($F9),3)=0)),IF($D9="One-off",($F9&gt;=J$5)*($F9&lt;=J$6),0))))))</f>
        <v>0</v>
      </c>
      <c r="K9" s="19">
        <f>IF(OR($E9="",$F9="",$D9=""),0,IF(OR($C9="Loan and finance repayments",$C9="VAT and taxes",$C9="Capital expenditure",$C9="Licences and regulatory fees"),1,1+CostAdj)*$E9*IF($D9="Weekly",(MAX(0,INT((K$6-$F9)/7)+1)-MAX(0,INT((K$5-1-$F9)/7)+1)),IF($D9="Fortnightly",(MAX(0,INT((K$6-$F9)/14)+1)-MAX(0,INT((K$5-1-$F9)/14)+1)),IF($D9="Monthly",((DATE(YEAR(K$5),MONTH(K$5),MIN(DAY($F9),DAY(EOMONTH(K$5,0))))&gt;=MAX(K$5,$F9))*(DATE(YEAR(K$5),MONTH(K$5),MIN(DAY($F9),DAY(EOMONTH(K$5,0))))&lt;=K$6)*(MOD((YEAR(K$5)-YEAR($F9))*12+MONTH(K$5)-MONTH($F9),1)=0)+(MONTH(K$6)&lt;&gt;MONTH(K$5))*(DATE(YEAR(K$6),MONTH(K$6),MIN(DAY($F9),DAY(EOMONTH(K$6,0))))&gt;=$F9)*(DATE(YEAR(K$6),MONTH(K$6),MIN(DAY($F9),DAY(EOMONTH(K$6,0))))&gt;=K$5)*(DATE(YEAR(K$6),MONTH(K$6),MIN(DAY($F9),DAY(EOMONTH(K$6,0))))&lt;=K$6)*(MOD((YEAR(K$6)-YEAR($F9))*12+MONTH(K$6)-MONTH($F9),1)=0)),IF($D9="Quarterly",((DATE(YEAR(K$5),MONTH(K$5),MIN(DAY($F9),DAY(EOMONTH(K$5,0))))&gt;=MAX(K$5,$F9))*(DATE(YEAR(K$5),MONTH(K$5),MIN(DAY($F9),DAY(EOMONTH(K$5,0))))&lt;=K$6)*(MOD((YEAR(K$5)-YEAR($F9))*12+MONTH(K$5)-MONTH($F9),3)=0)+(MONTH(K$6)&lt;&gt;MONTH(K$5))*(DATE(YEAR(K$6),MONTH(K$6),MIN(DAY($F9),DAY(EOMONTH(K$6,0))))&gt;=$F9)*(DATE(YEAR(K$6),MONTH(K$6),MIN(DAY($F9),DAY(EOMONTH(K$6,0))))&gt;=K$5)*(DATE(YEAR(K$6),MONTH(K$6),MIN(DAY($F9),DAY(EOMONTH(K$6,0))))&lt;=K$6)*(MOD((YEAR(K$6)-YEAR($F9))*12+MONTH(K$6)-MONTH($F9),3)=0)),IF($D9="One-off",($F9&gt;=K$5)*($F9&lt;=K$6),0))))))</f>
        <v>285000</v>
      </c>
      <c r="L9" s="19">
        <f>IF(OR($E9="",$F9="",$D9=""),0,IF(OR($C9="Loan and finance repayments",$C9="VAT and taxes",$C9="Capital expenditure",$C9="Licences and regulatory fees"),1,1+CostAdj)*$E9*IF($D9="Weekly",(MAX(0,INT((L$6-$F9)/7)+1)-MAX(0,INT((L$5-1-$F9)/7)+1)),IF($D9="Fortnightly",(MAX(0,INT((L$6-$F9)/14)+1)-MAX(0,INT((L$5-1-$F9)/14)+1)),IF($D9="Monthly",((DATE(YEAR(L$5),MONTH(L$5),MIN(DAY($F9),DAY(EOMONTH(L$5,0))))&gt;=MAX(L$5,$F9))*(DATE(YEAR(L$5),MONTH(L$5),MIN(DAY($F9),DAY(EOMONTH(L$5,0))))&lt;=L$6)*(MOD((YEAR(L$5)-YEAR($F9))*12+MONTH(L$5)-MONTH($F9),1)=0)+(MONTH(L$6)&lt;&gt;MONTH(L$5))*(DATE(YEAR(L$6),MONTH(L$6),MIN(DAY($F9),DAY(EOMONTH(L$6,0))))&gt;=$F9)*(DATE(YEAR(L$6),MONTH(L$6),MIN(DAY($F9),DAY(EOMONTH(L$6,0))))&gt;=L$5)*(DATE(YEAR(L$6),MONTH(L$6),MIN(DAY($F9),DAY(EOMONTH(L$6,0))))&lt;=L$6)*(MOD((YEAR(L$6)-YEAR($F9))*12+MONTH(L$6)-MONTH($F9),1)=0)),IF($D9="Quarterly",((DATE(YEAR(L$5),MONTH(L$5),MIN(DAY($F9),DAY(EOMONTH(L$5,0))))&gt;=MAX(L$5,$F9))*(DATE(YEAR(L$5),MONTH(L$5),MIN(DAY($F9),DAY(EOMONTH(L$5,0))))&lt;=L$6)*(MOD((YEAR(L$5)-YEAR($F9))*12+MONTH(L$5)-MONTH($F9),3)=0)+(MONTH(L$6)&lt;&gt;MONTH(L$5))*(DATE(YEAR(L$6),MONTH(L$6),MIN(DAY($F9),DAY(EOMONTH(L$6,0))))&gt;=$F9)*(DATE(YEAR(L$6),MONTH(L$6),MIN(DAY($F9),DAY(EOMONTH(L$6,0))))&gt;=L$5)*(DATE(YEAR(L$6),MONTH(L$6),MIN(DAY($F9),DAY(EOMONTH(L$6,0))))&lt;=L$6)*(MOD((YEAR(L$6)-YEAR($F9))*12+MONTH(L$6)-MONTH($F9),3)=0)),IF($D9="One-off",($F9&gt;=L$5)*($F9&lt;=L$6),0))))))</f>
        <v>0</v>
      </c>
      <c r="M9" s="19">
        <f>IF(OR($E9="",$F9="",$D9=""),0,IF(OR($C9="Loan and finance repayments",$C9="VAT and taxes",$C9="Capital expenditure",$C9="Licences and regulatory fees"),1,1+CostAdj)*$E9*IF($D9="Weekly",(MAX(0,INT((M$6-$F9)/7)+1)-MAX(0,INT((M$5-1-$F9)/7)+1)),IF($D9="Fortnightly",(MAX(0,INT((M$6-$F9)/14)+1)-MAX(0,INT((M$5-1-$F9)/14)+1)),IF($D9="Monthly",((DATE(YEAR(M$5),MONTH(M$5),MIN(DAY($F9),DAY(EOMONTH(M$5,0))))&gt;=MAX(M$5,$F9))*(DATE(YEAR(M$5),MONTH(M$5),MIN(DAY($F9),DAY(EOMONTH(M$5,0))))&lt;=M$6)*(MOD((YEAR(M$5)-YEAR($F9))*12+MONTH(M$5)-MONTH($F9),1)=0)+(MONTH(M$6)&lt;&gt;MONTH(M$5))*(DATE(YEAR(M$6),MONTH(M$6),MIN(DAY($F9),DAY(EOMONTH(M$6,0))))&gt;=$F9)*(DATE(YEAR(M$6),MONTH(M$6),MIN(DAY($F9),DAY(EOMONTH(M$6,0))))&gt;=M$5)*(DATE(YEAR(M$6),MONTH(M$6),MIN(DAY($F9),DAY(EOMONTH(M$6,0))))&lt;=M$6)*(MOD((YEAR(M$6)-YEAR($F9))*12+MONTH(M$6)-MONTH($F9),1)=0)),IF($D9="Quarterly",((DATE(YEAR(M$5),MONTH(M$5),MIN(DAY($F9),DAY(EOMONTH(M$5,0))))&gt;=MAX(M$5,$F9))*(DATE(YEAR(M$5),MONTH(M$5),MIN(DAY($F9),DAY(EOMONTH(M$5,0))))&lt;=M$6)*(MOD((YEAR(M$5)-YEAR($F9))*12+MONTH(M$5)-MONTH($F9),3)=0)+(MONTH(M$6)&lt;&gt;MONTH(M$5))*(DATE(YEAR(M$6),MONTH(M$6),MIN(DAY($F9),DAY(EOMONTH(M$6,0))))&gt;=$F9)*(DATE(YEAR(M$6),MONTH(M$6),MIN(DAY($F9),DAY(EOMONTH(M$6,0))))&gt;=M$5)*(DATE(YEAR(M$6),MONTH(M$6),MIN(DAY($F9),DAY(EOMONTH(M$6,0))))&lt;=M$6)*(MOD((YEAR(M$6)-YEAR($F9))*12+MONTH(M$6)-MONTH($F9),3)=0)),IF($D9="One-off",($F9&gt;=M$5)*($F9&lt;=M$6),0))))))</f>
        <v>0</v>
      </c>
      <c r="N9" s="19">
        <f>IF(OR($E9="",$F9="",$D9=""),0,IF(OR($C9="Loan and finance repayments",$C9="VAT and taxes",$C9="Capital expenditure",$C9="Licences and regulatory fees"),1,1+CostAdj)*$E9*IF($D9="Weekly",(MAX(0,INT((N$6-$F9)/7)+1)-MAX(0,INT((N$5-1-$F9)/7)+1)),IF($D9="Fortnightly",(MAX(0,INT((N$6-$F9)/14)+1)-MAX(0,INT((N$5-1-$F9)/14)+1)),IF($D9="Monthly",((DATE(YEAR(N$5),MONTH(N$5),MIN(DAY($F9),DAY(EOMONTH(N$5,0))))&gt;=MAX(N$5,$F9))*(DATE(YEAR(N$5),MONTH(N$5),MIN(DAY($F9),DAY(EOMONTH(N$5,0))))&lt;=N$6)*(MOD((YEAR(N$5)-YEAR($F9))*12+MONTH(N$5)-MONTH($F9),1)=0)+(MONTH(N$6)&lt;&gt;MONTH(N$5))*(DATE(YEAR(N$6),MONTH(N$6),MIN(DAY($F9),DAY(EOMONTH(N$6,0))))&gt;=$F9)*(DATE(YEAR(N$6),MONTH(N$6),MIN(DAY($F9),DAY(EOMONTH(N$6,0))))&gt;=N$5)*(DATE(YEAR(N$6),MONTH(N$6),MIN(DAY($F9),DAY(EOMONTH(N$6,0))))&lt;=N$6)*(MOD((YEAR(N$6)-YEAR($F9))*12+MONTH(N$6)-MONTH($F9),1)=0)),IF($D9="Quarterly",((DATE(YEAR(N$5),MONTH(N$5),MIN(DAY($F9),DAY(EOMONTH(N$5,0))))&gt;=MAX(N$5,$F9))*(DATE(YEAR(N$5),MONTH(N$5),MIN(DAY($F9),DAY(EOMONTH(N$5,0))))&lt;=N$6)*(MOD((YEAR(N$5)-YEAR($F9))*12+MONTH(N$5)-MONTH($F9),3)=0)+(MONTH(N$6)&lt;&gt;MONTH(N$5))*(DATE(YEAR(N$6),MONTH(N$6),MIN(DAY($F9),DAY(EOMONTH(N$6,0))))&gt;=$F9)*(DATE(YEAR(N$6),MONTH(N$6),MIN(DAY($F9),DAY(EOMONTH(N$6,0))))&gt;=N$5)*(DATE(YEAR(N$6),MONTH(N$6),MIN(DAY($F9),DAY(EOMONTH(N$6,0))))&lt;=N$6)*(MOD((YEAR(N$6)-YEAR($F9))*12+MONTH(N$6)-MONTH($F9),3)=0)),IF($D9="One-off",($F9&gt;=N$5)*($F9&lt;=N$6),0))))))</f>
        <v>0</v>
      </c>
      <c r="O9" s="19">
        <f>IF(OR($E9="",$F9="",$D9=""),0,IF(OR($C9="Loan and finance repayments",$C9="VAT and taxes",$C9="Capital expenditure",$C9="Licences and regulatory fees"),1,1+CostAdj)*$E9*IF($D9="Weekly",(MAX(0,INT((O$6-$F9)/7)+1)-MAX(0,INT((O$5-1-$F9)/7)+1)),IF($D9="Fortnightly",(MAX(0,INT((O$6-$F9)/14)+1)-MAX(0,INT((O$5-1-$F9)/14)+1)),IF($D9="Monthly",((DATE(YEAR(O$5),MONTH(O$5),MIN(DAY($F9),DAY(EOMONTH(O$5,0))))&gt;=MAX(O$5,$F9))*(DATE(YEAR(O$5),MONTH(O$5),MIN(DAY($F9),DAY(EOMONTH(O$5,0))))&lt;=O$6)*(MOD((YEAR(O$5)-YEAR($F9))*12+MONTH(O$5)-MONTH($F9),1)=0)+(MONTH(O$6)&lt;&gt;MONTH(O$5))*(DATE(YEAR(O$6),MONTH(O$6),MIN(DAY($F9),DAY(EOMONTH(O$6,0))))&gt;=$F9)*(DATE(YEAR(O$6),MONTH(O$6),MIN(DAY($F9),DAY(EOMONTH(O$6,0))))&gt;=O$5)*(DATE(YEAR(O$6),MONTH(O$6),MIN(DAY($F9),DAY(EOMONTH(O$6,0))))&lt;=O$6)*(MOD((YEAR(O$6)-YEAR($F9))*12+MONTH(O$6)-MONTH($F9),1)=0)),IF($D9="Quarterly",((DATE(YEAR(O$5),MONTH(O$5),MIN(DAY($F9),DAY(EOMONTH(O$5,0))))&gt;=MAX(O$5,$F9))*(DATE(YEAR(O$5),MONTH(O$5),MIN(DAY($F9),DAY(EOMONTH(O$5,0))))&lt;=O$6)*(MOD((YEAR(O$5)-YEAR($F9))*12+MONTH(O$5)-MONTH($F9),3)=0)+(MONTH(O$6)&lt;&gt;MONTH(O$5))*(DATE(YEAR(O$6),MONTH(O$6),MIN(DAY($F9),DAY(EOMONTH(O$6,0))))&gt;=$F9)*(DATE(YEAR(O$6),MONTH(O$6),MIN(DAY($F9),DAY(EOMONTH(O$6,0))))&gt;=O$5)*(DATE(YEAR(O$6),MONTH(O$6),MIN(DAY($F9),DAY(EOMONTH(O$6,0))))&lt;=O$6)*(MOD((YEAR(O$6)-YEAR($F9))*12+MONTH(O$6)-MONTH($F9),3)=0)),IF($D9="One-off",($F9&gt;=O$5)*($F9&lt;=O$6),0))))))</f>
        <v>285000</v>
      </c>
      <c r="P9" s="19">
        <f>IF(OR($E9="",$F9="",$D9=""),0,IF(OR($C9="Loan and finance repayments",$C9="VAT and taxes",$C9="Capital expenditure",$C9="Licences and regulatory fees"),1,1+CostAdj)*$E9*IF($D9="Weekly",(MAX(0,INT((P$6-$F9)/7)+1)-MAX(0,INT((P$5-1-$F9)/7)+1)),IF($D9="Fortnightly",(MAX(0,INT((P$6-$F9)/14)+1)-MAX(0,INT((P$5-1-$F9)/14)+1)),IF($D9="Monthly",((DATE(YEAR(P$5),MONTH(P$5),MIN(DAY($F9),DAY(EOMONTH(P$5,0))))&gt;=MAX(P$5,$F9))*(DATE(YEAR(P$5),MONTH(P$5),MIN(DAY($F9),DAY(EOMONTH(P$5,0))))&lt;=P$6)*(MOD((YEAR(P$5)-YEAR($F9))*12+MONTH(P$5)-MONTH($F9),1)=0)+(MONTH(P$6)&lt;&gt;MONTH(P$5))*(DATE(YEAR(P$6),MONTH(P$6),MIN(DAY($F9),DAY(EOMONTH(P$6,0))))&gt;=$F9)*(DATE(YEAR(P$6),MONTH(P$6),MIN(DAY($F9),DAY(EOMONTH(P$6,0))))&gt;=P$5)*(DATE(YEAR(P$6),MONTH(P$6),MIN(DAY($F9),DAY(EOMONTH(P$6,0))))&lt;=P$6)*(MOD((YEAR(P$6)-YEAR($F9))*12+MONTH(P$6)-MONTH($F9),1)=0)),IF($D9="Quarterly",((DATE(YEAR(P$5),MONTH(P$5),MIN(DAY($F9),DAY(EOMONTH(P$5,0))))&gt;=MAX(P$5,$F9))*(DATE(YEAR(P$5),MONTH(P$5),MIN(DAY($F9),DAY(EOMONTH(P$5,0))))&lt;=P$6)*(MOD((YEAR(P$5)-YEAR($F9))*12+MONTH(P$5)-MONTH($F9),3)=0)+(MONTH(P$6)&lt;&gt;MONTH(P$5))*(DATE(YEAR(P$6),MONTH(P$6),MIN(DAY($F9),DAY(EOMONTH(P$6,0))))&gt;=$F9)*(DATE(YEAR(P$6),MONTH(P$6),MIN(DAY($F9),DAY(EOMONTH(P$6,0))))&gt;=P$5)*(DATE(YEAR(P$6),MONTH(P$6),MIN(DAY($F9),DAY(EOMONTH(P$6,0))))&lt;=P$6)*(MOD((YEAR(P$6)-YEAR($F9))*12+MONTH(P$6)-MONTH($F9),3)=0)),IF($D9="One-off",($F9&gt;=P$5)*($F9&lt;=P$6),0))))))</f>
        <v>0</v>
      </c>
      <c r="Q9" s="19">
        <f>IF(OR($E9="",$F9="",$D9=""),0,IF(OR($C9="Loan and finance repayments",$C9="VAT and taxes",$C9="Capital expenditure",$C9="Licences and regulatory fees"),1,1+CostAdj)*$E9*IF($D9="Weekly",(MAX(0,INT((Q$6-$F9)/7)+1)-MAX(0,INT((Q$5-1-$F9)/7)+1)),IF($D9="Fortnightly",(MAX(0,INT((Q$6-$F9)/14)+1)-MAX(0,INT((Q$5-1-$F9)/14)+1)),IF($D9="Monthly",((DATE(YEAR(Q$5),MONTH(Q$5),MIN(DAY($F9),DAY(EOMONTH(Q$5,0))))&gt;=MAX(Q$5,$F9))*(DATE(YEAR(Q$5),MONTH(Q$5),MIN(DAY($F9),DAY(EOMONTH(Q$5,0))))&lt;=Q$6)*(MOD((YEAR(Q$5)-YEAR($F9))*12+MONTH(Q$5)-MONTH($F9),1)=0)+(MONTH(Q$6)&lt;&gt;MONTH(Q$5))*(DATE(YEAR(Q$6),MONTH(Q$6),MIN(DAY($F9),DAY(EOMONTH(Q$6,0))))&gt;=$F9)*(DATE(YEAR(Q$6),MONTH(Q$6),MIN(DAY($F9),DAY(EOMONTH(Q$6,0))))&gt;=Q$5)*(DATE(YEAR(Q$6),MONTH(Q$6),MIN(DAY($F9),DAY(EOMONTH(Q$6,0))))&lt;=Q$6)*(MOD((YEAR(Q$6)-YEAR($F9))*12+MONTH(Q$6)-MONTH($F9),1)=0)),IF($D9="Quarterly",((DATE(YEAR(Q$5),MONTH(Q$5),MIN(DAY($F9),DAY(EOMONTH(Q$5,0))))&gt;=MAX(Q$5,$F9))*(DATE(YEAR(Q$5),MONTH(Q$5),MIN(DAY($F9),DAY(EOMONTH(Q$5,0))))&lt;=Q$6)*(MOD((YEAR(Q$5)-YEAR($F9))*12+MONTH(Q$5)-MONTH($F9),3)=0)+(MONTH(Q$6)&lt;&gt;MONTH(Q$5))*(DATE(YEAR(Q$6),MONTH(Q$6),MIN(DAY($F9),DAY(EOMONTH(Q$6,0))))&gt;=$F9)*(DATE(YEAR(Q$6),MONTH(Q$6),MIN(DAY($F9),DAY(EOMONTH(Q$6,0))))&gt;=Q$5)*(DATE(YEAR(Q$6),MONTH(Q$6),MIN(DAY($F9),DAY(EOMONTH(Q$6,0))))&lt;=Q$6)*(MOD((YEAR(Q$6)-YEAR($F9))*12+MONTH(Q$6)-MONTH($F9),3)=0)),IF($D9="One-off",($F9&gt;=Q$5)*($F9&lt;=Q$6),0))))))</f>
        <v>0</v>
      </c>
      <c r="R9" s="19">
        <f>IF(OR($E9="",$F9="",$D9=""),0,IF(OR($C9="Loan and finance repayments",$C9="VAT and taxes",$C9="Capital expenditure",$C9="Licences and regulatory fees"),1,1+CostAdj)*$E9*IF($D9="Weekly",(MAX(0,INT((R$6-$F9)/7)+1)-MAX(0,INT((R$5-1-$F9)/7)+1)),IF($D9="Fortnightly",(MAX(0,INT((R$6-$F9)/14)+1)-MAX(0,INT((R$5-1-$F9)/14)+1)),IF($D9="Monthly",((DATE(YEAR(R$5),MONTH(R$5),MIN(DAY($F9),DAY(EOMONTH(R$5,0))))&gt;=MAX(R$5,$F9))*(DATE(YEAR(R$5),MONTH(R$5),MIN(DAY($F9),DAY(EOMONTH(R$5,0))))&lt;=R$6)*(MOD((YEAR(R$5)-YEAR($F9))*12+MONTH(R$5)-MONTH($F9),1)=0)+(MONTH(R$6)&lt;&gt;MONTH(R$5))*(DATE(YEAR(R$6),MONTH(R$6),MIN(DAY($F9),DAY(EOMONTH(R$6,0))))&gt;=$F9)*(DATE(YEAR(R$6),MONTH(R$6),MIN(DAY($F9),DAY(EOMONTH(R$6,0))))&gt;=R$5)*(DATE(YEAR(R$6),MONTH(R$6),MIN(DAY($F9),DAY(EOMONTH(R$6,0))))&lt;=R$6)*(MOD((YEAR(R$6)-YEAR($F9))*12+MONTH(R$6)-MONTH($F9),1)=0)),IF($D9="Quarterly",((DATE(YEAR(R$5),MONTH(R$5),MIN(DAY($F9),DAY(EOMONTH(R$5,0))))&gt;=MAX(R$5,$F9))*(DATE(YEAR(R$5),MONTH(R$5),MIN(DAY($F9),DAY(EOMONTH(R$5,0))))&lt;=R$6)*(MOD((YEAR(R$5)-YEAR($F9))*12+MONTH(R$5)-MONTH($F9),3)=0)+(MONTH(R$6)&lt;&gt;MONTH(R$5))*(DATE(YEAR(R$6),MONTH(R$6),MIN(DAY($F9),DAY(EOMONTH(R$6,0))))&gt;=$F9)*(DATE(YEAR(R$6),MONTH(R$6),MIN(DAY($F9),DAY(EOMONTH(R$6,0))))&gt;=R$5)*(DATE(YEAR(R$6),MONTH(R$6),MIN(DAY($F9),DAY(EOMONTH(R$6,0))))&lt;=R$6)*(MOD((YEAR(R$6)-YEAR($F9))*12+MONTH(R$6)-MONTH($F9),3)=0)),IF($D9="One-off",($F9&gt;=R$5)*($F9&lt;=R$6),0))))))</f>
        <v>0</v>
      </c>
      <c r="S9" s="19">
        <f>IF(OR($E9="",$F9="",$D9=""),0,IF(OR($C9="Loan and finance repayments",$C9="VAT and taxes",$C9="Capital expenditure",$C9="Licences and regulatory fees"),1,1+CostAdj)*$E9*IF($D9="Weekly",(MAX(0,INT((S$6-$F9)/7)+1)-MAX(0,INT((S$5-1-$F9)/7)+1)),IF($D9="Fortnightly",(MAX(0,INT((S$6-$F9)/14)+1)-MAX(0,INT((S$5-1-$F9)/14)+1)),IF($D9="Monthly",((DATE(YEAR(S$5),MONTH(S$5),MIN(DAY($F9),DAY(EOMONTH(S$5,0))))&gt;=MAX(S$5,$F9))*(DATE(YEAR(S$5),MONTH(S$5),MIN(DAY($F9),DAY(EOMONTH(S$5,0))))&lt;=S$6)*(MOD((YEAR(S$5)-YEAR($F9))*12+MONTH(S$5)-MONTH($F9),1)=0)+(MONTH(S$6)&lt;&gt;MONTH(S$5))*(DATE(YEAR(S$6),MONTH(S$6),MIN(DAY($F9),DAY(EOMONTH(S$6,0))))&gt;=$F9)*(DATE(YEAR(S$6),MONTH(S$6),MIN(DAY($F9),DAY(EOMONTH(S$6,0))))&gt;=S$5)*(DATE(YEAR(S$6),MONTH(S$6),MIN(DAY($F9),DAY(EOMONTH(S$6,0))))&lt;=S$6)*(MOD((YEAR(S$6)-YEAR($F9))*12+MONTH(S$6)-MONTH($F9),1)=0)),IF($D9="Quarterly",((DATE(YEAR(S$5),MONTH(S$5),MIN(DAY($F9),DAY(EOMONTH(S$5,0))))&gt;=MAX(S$5,$F9))*(DATE(YEAR(S$5),MONTH(S$5),MIN(DAY($F9),DAY(EOMONTH(S$5,0))))&lt;=S$6)*(MOD((YEAR(S$5)-YEAR($F9))*12+MONTH(S$5)-MONTH($F9),3)=0)+(MONTH(S$6)&lt;&gt;MONTH(S$5))*(DATE(YEAR(S$6),MONTH(S$6),MIN(DAY($F9),DAY(EOMONTH(S$6,0))))&gt;=$F9)*(DATE(YEAR(S$6),MONTH(S$6),MIN(DAY($F9),DAY(EOMONTH(S$6,0))))&gt;=S$5)*(DATE(YEAR(S$6),MONTH(S$6),MIN(DAY($F9),DAY(EOMONTH(S$6,0))))&lt;=S$6)*(MOD((YEAR(S$6)-YEAR($F9))*12+MONTH(S$6)-MONTH($F9),3)=0)),IF($D9="One-off",($F9&gt;=S$5)*($F9&lt;=S$6),0))))))</f>
        <v>0</v>
      </c>
      <c r="T9" s="19">
        <f>IF(OR($E9="",$F9="",$D9=""),0,IF(OR($C9="Loan and finance repayments",$C9="VAT and taxes",$C9="Capital expenditure",$C9="Licences and regulatory fees"),1,1+CostAdj)*$E9*IF($D9="Weekly",(MAX(0,INT((T$6-$F9)/7)+1)-MAX(0,INT((T$5-1-$F9)/7)+1)),IF($D9="Fortnightly",(MAX(0,INT((T$6-$F9)/14)+1)-MAX(0,INT((T$5-1-$F9)/14)+1)),IF($D9="Monthly",((DATE(YEAR(T$5),MONTH(T$5),MIN(DAY($F9),DAY(EOMONTH(T$5,0))))&gt;=MAX(T$5,$F9))*(DATE(YEAR(T$5),MONTH(T$5),MIN(DAY($F9),DAY(EOMONTH(T$5,0))))&lt;=T$6)*(MOD((YEAR(T$5)-YEAR($F9))*12+MONTH(T$5)-MONTH($F9),1)=0)+(MONTH(T$6)&lt;&gt;MONTH(T$5))*(DATE(YEAR(T$6),MONTH(T$6),MIN(DAY($F9),DAY(EOMONTH(T$6,0))))&gt;=$F9)*(DATE(YEAR(T$6),MONTH(T$6),MIN(DAY($F9),DAY(EOMONTH(T$6,0))))&gt;=T$5)*(DATE(YEAR(T$6),MONTH(T$6),MIN(DAY($F9),DAY(EOMONTH(T$6,0))))&lt;=T$6)*(MOD((YEAR(T$6)-YEAR($F9))*12+MONTH(T$6)-MONTH($F9),1)=0)),IF($D9="Quarterly",((DATE(YEAR(T$5),MONTH(T$5),MIN(DAY($F9),DAY(EOMONTH(T$5,0))))&gt;=MAX(T$5,$F9))*(DATE(YEAR(T$5),MONTH(T$5),MIN(DAY($F9),DAY(EOMONTH(T$5,0))))&lt;=T$6)*(MOD((YEAR(T$5)-YEAR($F9))*12+MONTH(T$5)-MONTH($F9),3)=0)+(MONTH(T$6)&lt;&gt;MONTH(T$5))*(DATE(YEAR(T$6),MONTH(T$6),MIN(DAY($F9),DAY(EOMONTH(T$6,0))))&gt;=$F9)*(DATE(YEAR(T$6),MONTH(T$6),MIN(DAY($F9),DAY(EOMONTH(T$6,0))))&gt;=T$5)*(DATE(YEAR(T$6),MONTH(T$6),MIN(DAY($F9),DAY(EOMONTH(T$6,0))))&lt;=T$6)*(MOD((YEAR(T$6)-YEAR($F9))*12+MONTH(T$6)-MONTH($F9),3)=0)),IF($D9="One-off",($F9&gt;=T$5)*($F9&lt;=T$6),0))))))</f>
        <v>285000</v>
      </c>
      <c r="U9" s="36">
        <f>SUM(H9:T9)</f>
        <v>855000</v>
      </c>
    </row>
    <row r="10" spans="1:21">
      <c r="A10" s="42">
        <v>2</v>
      </c>
      <c r="B10" s="7" t="s">
        <v>129</v>
      </c>
      <c r="C10" s="7" t="s">
        <v>1</v>
      </c>
      <c r="D10" s="7" t="s">
        <v>15</v>
      </c>
      <c r="E10" s="18">
        <v>95000</v>
      </c>
      <c r="F10" s="17">
        <v>46307</v>
      </c>
      <c r="G10" s="7"/>
      <c r="H10" s="19">
        <f>IF(OR($E10="",$F10="",$D10=""),0,IF(OR($C10="Loan and finance repayments",$C10="VAT and taxes",$C10="Capital expenditure",$C10="Licences and regulatory fees"),1,1+CostAdj)*$E10*IF($D10="Weekly",(MAX(0,INT((H$6-$F10)/7)+1)-MAX(0,INT((H$5-1-$F10)/7)+1)),IF($D10="Fortnightly",(MAX(0,INT((H$6-$F10)/14)+1)-MAX(0,INT((H$5-1-$F10)/14)+1)),IF($D10="Monthly",((DATE(YEAR(H$5),MONTH(H$5),MIN(DAY($F10),DAY(EOMONTH(H$5,0))))&gt;=MAX(H$5,$F10))*(DATE(YEAR(H$5),MONTH(H$5),MIN(DAY($F10),DAY(EOMONTH(H$5,0))))&lt;=H$6)*(MOD((YEAR(H$5)-YEAR($F10))*12+MONTH(H$5)-MONTH($F10),1)=0)+(MONTH(H$6)&lt;&gt;MONTH(H$5))*(DATE(YEAR(H$6),MONTH(H$6),MIN(DAY($F10),DAY(EOMONTH(H$6,0))))&gt;=$F10)*(DATE(YEAR(H$6),MONTH(H$6),MIN(DAY($F10),DAY(EOMONTH(H$6,0))))&gt;=H$5)*(DATE(YEAR(H$6),MONTH(H$6),MIN(DAY($F10),DAY(EOMONTH(H$6,0))))&lt;=H$6)*(MOD((YEAR(H$6)-YEAR($F10))*12+MONTH(H$6)-MONTH($F10),1)=0)),IF($D10="Quarterly",((DATE(YEAR(H$5),MONTH(H$5),MIN(DAY($F10),DAY(EOMONTH(H$5,0))))&gt;=MAX(H$5,$F10))*(DATE(YEAR(H$5),MONTH(H$5),MIN(DAY($F10),DAY(EOMONTH(H$5,0))))&lt;=H$6)*(MOD((YEAR(H$5)-YEAR($F10))*12+MONTH(H$5)-MONTH($F10),3)=0)+(MONTH(H$6)&lt;&gt;MONTH(H$5))*(DATE(YEAR(H$6),MONTH(H$6),MIN(DAY($F10),DAY(EOMONTH(H$6,0))))&gt;=$F10)*(DATE(YEAR(H$6),MONTH(H$6),MIN(DAY($F10),DAY(EOMONTH(H$6,0))))&gt;=H$5)*(DATE(YEAR(H$6),MONTH(H$6),MIN(DAY($F10),DAY(EOMONTH(H$6,0))))&lt;=H$6)*(MOD((YEAR(H$6)-YEAR($F10))*12+MONTH(H$6)-MONTH($F10),3)=0)),IF($D10="One-off",($F10&gt;=H$5)*($F10&lt;=H$6),0))))))</f>
        <v>0</v>
      </c>
      <c r="I10" s="19">
        <f>IF(OR($E10="",$F10="",$D10=""),0,IF(OR($C10="Loan and finance repayments",$C10="VAT and taxes",$C10="Capital expenditure",$C10="Licences and regulatory fees"),1,1+CostAdj)*$E10*IF($D10="Weekly",(MAX(0,INT((I$6-$F10)/7)+1)-MAX(0,INT((I$5-1-$F10)/7)+1)),IF($D10="Fortnightly",(MAX(0,INT((I$6-$F10)/14)+1)-MAX(0,INT((I$5-1-$F10)/14)+1)),IF($D10="Monthly",((DATE(YEAR(I$5),MONTH(I$5),MIN(DAY($F10),DAY(EOMONTH(I$5,0))))&gt;=MAX(I$5,$F10))*(DATE(YEAR(I$5),MONTH(I$5),MIN(DAY($F10),DAY(EOMONTH(I$5,0))))&lt;=I$6)*(MOD((YEAR(I$5)-YEAR($F10))*12+MONTH(I$5)-MONTH($F10),1)=0)+(MONTH(I$6)&lt;&gt;MONTH(I$5))*(DATE(YEAR(I$6),MONTH(I$6),MIN(DAY($F10),DAY(EOMONTH(I$6,0))))&gt;=$F10)*(DATE(YEAR(I$6),MONTH(I$6),MIN(DAY($F10),DAY(EOMONTH(I$6,0))))&gt;=I$5)*(DATE(YEAR(I$6),MONTH(I$6),MIN(DAY($F10),DAY(EOMONTH(I$6,0))))&lt;=I$6)*(MOD((YEAR(I$6)-YEAR($F10))*12+MONTH(I$6)-MONTH($F10),1)=0)),IF($D10="Quarterly",((DATE(YEAR(I$5),MONTH(I$5),MIN(DAY($F10),DAY(EOMONTH(I$5,0))))&gt;=MAX(I$5,$F10))*(DATE(YEAR(I$5),MONTH(I$5),MIN(DAY($F10),DAY(EOMONTH(I$5,0))))&lt;=I$6)*(MOD((YEAR(I$5)-YEAR($F10))*12+MONTH(I$5)-MONTH($F10),3)=0)+(MONTH(I$6)&lt;&gt;MONTH(I$5))*(DATE(YEAR(I$6),MONTH(I$6),MIN(DAY($F10),DAY(EOMONTH(I$6,0))))&gt;=$F10)*(DATE(YEAR(I$6),MONTH(I$6),MIN(DAY($F10),DAY(EOMONTH(I$6,0))))&gt;=I$5)*(DATE(YEAR(I$6),MONTH(I$6),MIN(DAY($F10),DAY(EOMONTH(I$6,0))))&lt;=I$6)*(MOD((YEAR(I$6)-YEAR($F10))*12+MONTH(I$6)-MONTH($F10),3)=0)),IF($D10="One-off",($F10&gt;=I$5)*($F10&lt;=I$6),0))))))</f>
        <v>95000</v>
      </c>
      <c r="J10" s="19">
        <f>IF(OR($E10="",$F10="",$D10=""),0,IF(OR($C10="Loan and finance repayments",$C10="VAT and taxes",$C10="Capital expenditure",$C10="Licences and regulatory fees"),1,1+CostAdj)*$E10*IF($D10="Weekly",(MAX(0,INT((J$6-$F10)/7)+1)-MAX(0,INT((J$5-1-$F10)/7)+1)),IF($D10="Fortnightly",(MAX(0,INT((J$6-$F10)/14)+1)-MAX(0,INT((J$5-1-$F10)/14)+1)),IF($D10="Monthly",((DATE(YEAR(J$5),MONTH(J$5),MIN(DAY($F10),DAY(EOMONTH(J$5,0))))&gt;=MAX(J$5,$F10))*(DATE(YEAR(J$5),MONTH(J$5),MIN(DAY($F10),DAY(EOMONTH(J$5,0))))&lt;=J$6)*(MOD((YEAR(J$5)-YEAR($F10))*12+MONTH(J$5)-MONTH($F10),1)=0)+(MONTH(J$6)&lt;&gt;MONTH(J$5))*(DATE(YEAR(J$6),MONTH(J$6),MIN(DAY($F10),DAY(EOMONTH(J$6,0))))&gt;=$F10)*(DATE(YEAR(J$6),MONTH(J$6),MIN(DAY($F10),DAY(EOMONTH(J$6,0))))&gt;=J$5)*(DATE(YEAR(J$6),MONTH(J$6),MIN(DAY($F10),DAY(EOMONTH(J$6,0))))&lt;=J$6)*(MOD((YEAR(J$6)-YEAR($F10))*12+MONTH(J$6)-MONTH($F10),1)=0)),IF($D10="Quarterly",((DATE(YEAR(J$5),MONTH(J$5),MIN(DAY($F10),DAY(EOMONTH(J$5,0))))&gt;=MAX(J$5,$F10))*(DATE(YEAR(J$5),MONTH(J$5),MIN(DAY($F10),DAY(EOMONTH(J$5,0))))&lt;=J$6)*(MOD((YEAR(J$5)-YEAR($F10))*12+MONTH(J$5)-MONTH($F10),3)=0)+(MONTH(J$6)&lt;&gt;MONTH(J$5))*(DATE(YEAR(J$6),MONTH(J$6),MIN(DAY($F10),DAY(EOMONTH(J$6,0))))&gt;=$F10)*(DATE(YEAR(J$6),MONTH(J$6),MIN(DAY($F10),DAY(EOMONTH(J$6,0))))&gt;=J$5)*(DATE(YEAR(J$6),MONTH(J$6),MIN(DAY($F10),DAY(EOMONTH(J$6,0))))&lt;=J$6)*(MOD((YEAR(J$6)-YEAR($F10))*12+MONTH(J$6)-MONTH($F10),3)=0)),IF($D10="One-off",($F10&gt;=J$5)*($F10&lt;=J$6),0))))))</f>
        <v>0</v>
      </c>
      <c r="K10" s="19">
        <f>IF(OR($E10="",$F10="",$D10=""),0,IF(OR($C10="Loan and finance repayments",$C10="VAT and taxes",$C10="Capital expenditure",$C10="Licences and regulatory fees"),1,1+CostAdj)*$E10*IF($D10="Weekly",(MAX(0,INT((K$6-$F10)/7)+1)-MAX(0,INT((K$5-1-$F10)/7)+1)),IF($D10="Fortnightly",(MAX(0,INT((K$6-$F10)/14)+1)-MAX(0,INT((K$5-1-$F10)/14)+1)),IF($D10="Monthly",((DATE(YEAR(K$5),MONTH(K$5),MIN(DAY($F10),DAY(EOMONTH(K$5,0))))&gt;=MAX(K$5,$F10))*(DATE(YEAR(K$5),MONTH(K$5),MIN(DAY($F10),DAY(EOMONTH(K$5,0))))&lt;=K$6)*(MOD((YEAR(K$5)-YEAR($F10))*12+MONTH(K$5)-MONTH($F10),1)=0)+(MONTH(K$6)&lt;&gt;MONTH(K$5))*(DATE(YEAR(K$6),MONTH(K$6),MIN(DAY($F10),DAY(EOMONTH(K$6,0))))&gt;=$F10)*(DATE(YEAR(K$6),MONTH(K$6),MIN(DAY($F10),DAY(EOMONTH(K$6,0))))&gt;=K$5)*(DATE(YEAR(K$6),MONTH(K$6),MIN(DAY($F10),DAY(EOMONTH(K$6,0))))&lt;=K$6)*(MOD((YEAR(K$6)-YEAR($F10))*12+MONTH(K$6)-MONTH($F10),1)=0)),IF($D10="Quarterly",((DATE(YEAR(K$5),MONTH(K$5),MIN(DAY($F10),DAY(EOMONTH(K$5,0))))&gt;=MAX(K$5,$F10))*(DATE(YEAR(K$5),MONTH(K$5),MIN(DAY($F10),DAY(EOMONTH(K$5,0))))&lt;=K$6)*(MOD((YEAR(K$5)-YEAR($F10))*12+MONTH(K$5)-MONTH($F10),3)=0)+(MONTH(K$6)&lt;&gt;MONTH(K$5))*(DATE(YEAR(K$6),MONTH(K$6),MIN(DAY($F10),DAY(EOMONTH(K$6,0))))&gt;=$F10)*(DATE(YEAR(K$6),MONTH(K$6),MIN(DAY($F10),DAY(EOMONTH(K$6,0))))&gt;=K$5)*(DATE(YEAR(K$6),MONTH(K$6),MIN(DAY($F10),DAY(EOMONTH(K$6,0))))&lt;=K$6)*(MOD((YEAR(K$6)-YEAR($F10))*12+MONTH(K$6)-MONTH($F10),3)=0)),IF($D10="One-off",($F10&gt;=K$5)*($F10&lt;=K$6),0))))))</f>
        <v>0</v>
      </c>
      <c r="L10" s="19">
        <f>IF(OR($E10="",$F10="",$D10=""),0,IF(OR($C10="Loan and finance repayments",$C10="VAT and taxes",$C10="Capital expenditure",$C10="Licences and regulatory fees"),1,1+CostAdj)*$E10*IF($D10="Weekly",(MAX(0,INT((L$6-$F10)/7)+1)-MAX(0,INT((L$5-1-$F10)/7)+1)),IF($D10="Fortnightly",(MAX(0,INT((L$6-$F10)/14)+1)-MAX(0,INT((L$5-1-$F10)/14)+1)),IF($D10="Monthly",((DATE(YEAR(L$5),MONTH(L$5),MIN(DAY($F10),DAY(EOMONTH(L$5,0))))&gt;=MAX(L$5,$F10))*(DATE(YEAR(L$5),MONTH(L$5),MIN(DAY($F10),DAY(EOMONTH(L$5,0))))&lt;=L$6)*(MOD((YEAR(L$5)-YEAR($F10))*12+MONTH(L$5)-MONTH($F10),1)=0)+(MONTH(L$6)&lt;&gt;MONTH(L$5))*(DATE(YEAR(L$6),MONTH(L$6),MIN(DAY($F10),DAY(EOMONTH(L$6,0))))&gt;=$F10)*(DATE(YEAR(L$6),MONTH(L$6),MIN(DAY($F10),DAY(EOMONTH(L$6,0))))&gt;=L$5)*(DATE(YEAR(L$6),MONTH(L$6),MIN(DAY($F10),DAY(EOMONTH(L$6,0))))&lt;=L$6)*(MOD((YEAR(L$6)-YEAR($F10))*12+MONTH(L$6)-MONTH($F10),1)=0)),IF($D10="Quarterly",((DATE(YEAR(L$5),MONTH(L$5),MIN(DAY($F10),DAY(EOMONTH(L$5,0))))&gt;=MAX(L$5,$F10))*(DATE(YEAR(L$5),MONTH(L$5),MIN(DAY($F10),DAY(EOMONTH(L$5,0))))&lt;=L$6)*(MOD((YEAR(L$5)-YEAR($F10))*12+MONTH(L$5)-MONTH($F10),3)=0)+(MONTH(L$6)&lt;&gt;MONTH(L$5))*(DATE(YEAR(L$6),MONTH(L$6),MIN(DAY($F10),DAY(EOMONTH(L$6,0))))&gt;=$F10)*(DATE(YEAR(L$6),MONTH(L$6),MIN(DAY($F10),DAY(EOMONTH(L$6,0))))&gt;=L$5)*(DATE(YEAR(L$6),MONTH(L$6),MIN(DAY($F10),DAY(EOMONTH(L$6,0))))&lt;=L$6)*(MOD((YEAR(L$6)-YEAR($F10))*12+MONTH(L$6)-MONTH($F10),3)=0)),IF($D10="One-off",($F10&gt;=L$5)*($F10&lt;=L$6),0))))))</f>
        <v>0</v>
      </c>
      <c r="M10" s="19">
        <f>IF(OR($E10="",$F10="",$D10=""),0,IF(OR($C10="Loan and finance repayments",$C10="VAT and taxes",$C10="Capital expenditure",$C10="Licences and regulatory fees"),1,1+CostAdj)*$E10*IF($D10="Weekly",(MAX(0,INT((M$6-$F10)/7)+1)-MAX(0,INT((M$5-1-$F10)/7)+1)),IF($D10="Fortnightly",(MAX(0,INT((M$6-$F10)/14)+1)-MAX(0,INT((M$5-1-$F10)/14)+1)),IF($D10="Monthly",((DATE(YEAR(M$5),MONTH(M$5),MIN(DAY($F10),DAY(EOMONTH(M$5,0))))&gt;=MAX(M$5,$F10))*(DATE(YEAR(M$5),MONTH(M$5),MIN(DAY($F10),DAY(EOMONTH(M$5,0))))&lt;=M$6)*(MOD((YEAR(M$5)-YEAR($F10))*12+MONTH(M$5)-MONTH($F10),1)=0)+(MONTH(M$6)&lt;&gt;MONTH(M$5))*(DATE(YEAR(M$6),MONTH(M$6),MIN(DAY($F10),DAY(EOMONTH(M$6,0))))&gt;=$F10)*(DATE(YEAR(M$6),MONTH(M$6),MIN(DAY($F10),DAY(EOMONTH(M$6,0))))&gt;=M$5)*(DATE(YEAR(M$6),MONTH(M$6),MIN(DAY($F10),DAY(EOMONTH(M$6,0))))&lt;=M$6)*(MOD((YEAR(M$6)-YEAR($F10))*12+MONTH(M$6)-MONTH($F10),1)=0)),IF($D10="Quarterly",((DATE(YEAR(M$5),MONTH(M$5),MIN(DAY($F10),DAY(EOMONTH(M$5,0))))&gt;=MAX(M$5,$F10))*(DATE(YEAR(M$5),MONTH(M$5),MIN(DAY($F10),DAY(EOMONTH(M$5,0))))&lt;=M$6)*(MOD((YEAR(M$5)-YEAR($F10))*12+MONTH(M$5)-MONTH($F10),3)=0)+(MONTH(M$6)&lt;&gt;MONTH(M$5))*(DATE(YEAR(M$6),MONTH(M$6),MIN(DAY($F10),DAY(EOMONTH(M$6,0))))&gt;=$F10)*(DATE(YEAR(M$6),MONTH(M$6),MIN(DAY($F10),DAY(EOMONTH(M$6,0))))&gt;=M$5)*(DATE(YEAR(M$6),MONTH(M$6),MIN(DAY($F10),DAY(EOMONTH(M$6,0))))&lt;=M$6)*(MOD((YEAR(M$6)-YEAR($F10))*12+MONTH(M$6)-MONTH($F10),3)=0)),IF($D10="One-off",($F10&gt;=M$5)*($F10&lt;=M$6),0))))))</f>
        <v>95000</v>
      </c>
      <c r="N10" s="19">
        <f>IF(OR($E10="",$F10="",$D10=""),0,IF(OR($C10="Loan and finance repayments",$C10="VAT and taxes",$C10="Capital expenditure",$C10="Licences and regulatory fees"),1,1+CostAdj)*$E10*IF($D10="Weekly",(MAX(0,INT((N$6-$F10)/7)+1)-MAX(0,INT((N$5-1-$F10)/7)+1)),IF($D10="Fortnightly",(MAX(0,INT((N$6-$F10)/14)+1)-MAX(0,INT((N$5-1-$F10)/14)+1)),IF($D10="Monthly",((DATE(YEAR(N$5),MONTH(N$5),MIN(DAY($F10),DAY(EOMONTH(N$5,0))))&gt;=MAX(N$5,$F10))*(DATE(YEAR(N$5),MONTH(N$5),MIN(DAY($F10),DAY(EOMONTH(N$5,0))))&lt;=N$6)*(MOD((YEAR(N$5)-YEAR($F10))*12+MONTH(N$5)-MONTH($F10),1)=0)+(MONTH(N$6)&lt;&gt;MONTH(N$5))*(DATE(YEAR(N$6),MONTH(N$6),MIN(DAY($F10),DAY(EOMONTH(N$6,0))))&gt;=$F10)*(DATE(YEAR(N$6),MONTH(N$6),MIN(DAY($F10),DAY(EOMONTH(N$6,0))))&gt;=N$5)*(DATE(YEAR(N$6),MONTH(N$6),MIN(DAY($F10),DAY(EOMONTH(N$6,0))))&lt;=N$6)*(MOD((YEAR(N$6)-YEAR($F10))*12+MONTH(N$6)-MONTH($F10),1)=0)),IF($D10="Quarterly",((DATE(YEAR(N$5),MONTH(N$5),MIN(DAY($F10),DAY(EOMONTH(N$5,0))))&gt;=MAX(N$5,$F10))*(DATE(YEAR(N$5),MONTH(N$5),MIN(DAY($F10),DAY(EOMONTH(N$5,0))))&lt;=N$6)*(MOD((YEAR(N$5)-YEAR($F10))*12+MONTH(N$5)-MONTH($F10),3)=0)+(MONTH(N$6)&lt;&gt;MONTH(N$5))*(DATE(YEAR(N$6),MONTH(N$6),MIN(DAY($F10),DAY(EOMONTH(N$6,0))))&gt;=$F10)*(DATE(YEAR(N$6),MONTH(N$6),MIN(DAY($F10),DAY(EOMONTH(N$6,0))))&gt;=N$5)*(DATE(YEAR(N$6),MONTH(N$6),MIN(DAY($F10),DAY(EOMONTH(N$6,0))))&lt;=N$6)*(MOD((YEAR(N$6)-YEAR($F10))*12+MONTH(N$6)-MONTH($F10),3)=0)),IF($D10="One-off",($F10&gt;=N$5)*($F10&lt;=N$6),0))))))</f>
        <v>0</v>
      </c>
      <c r="O10" s="19">
        <f>IF(OR($E10="",$F10="",$D10=""),0,IF(OR($C10="Loan and finance repayments",$C10="VAT and taxes",$C10="Capital expenditure",$C10="Licences and regulatory fees"),1,1+CostAdj)*$E10*IF($D10="Weekly",(MAX(0,INT((O$6-$F10)/7)+1)-MAX(0,INT((O$5-1-$F10)/7)+1)),IF($D10="Fortnightly",(MAX(0,INT((O$6-$F10)/14)+1)-MAX(0,INT((O$5-1-$F10)/14)+1)),IF($D10="Monthly",((DATE(YEAR(O$5),MONTH(O$5),MIN(DAY($F10),DAY(EOMONTH(O$5,0))))&gt;=MAX(O$5,$F10))*(DATE(YEAR(O$5),MONTH(O$5),MIN(DAY($F10),DAY(EOMONTH(O$5,0))))&lt;=O$6)*(MOD((YEAR(O$5)-YEAR($F10))*12+MONTH(O$5)-MONTH($F10),1)=0)+(MONTH(O$6)&lt;&gt;MONTH(O$5))*(DATE(YEAR(O$6),MONTH(O$6),MIN(DAY($F10),DAY(EOMONTH(O$6,0))))&gt;=$F10)*(DATE(YEAR(O$6),MONTH(O$6),MIN(DAY($F10),DAY(EOMONTH(O$6,0))))&gt;=O$5)*(DATE(YEAR(O$6),MONTH(O$6),MIN(DAY($F10),DAY(EOMONTH(O$6,0))))&lt;=O$6)*(MOD((YEAR(O$6)-YEAR($F10))*12+MONTH(O$6)-MONTH($F10),1)=0)),IF($D10="Quarterly",((DATE(YEAR(O$5),MONTH(O$5),MIN(DAY($F10),DAY(EOMONTH(O$5,0))))&gt;=MAX(O$5,$F10))*(DATE(YEAR(O$5),MONTH(O$5),MIN(DAY($F10),DAY(EOMONTH(O$5,0))))&lt;=O$6)*(MOD((YEAR(O$5)-YEAR($F10))*12+MONTH(O$5)-MONTH($F10),3)=0)+(MONTH(O$6)&lt;&gt;MONTH(O$5))*(DATE(YEAR(O$6),MONTH(O$6),MIN(DAY($F10),DAY(EOMONTH(O$6,0))))&gt;=$F10)*(DATE(YEAR(O$6),MONTH(O$6),MIN(DAY($F10),DAY(EOMONTH(O$6,0))))&gt;=O$5)*(DATE(YEAR(O$6),MONTH(O$6),MIN(DAY($F10),DAY(EOMONTH(O$6,0))))&lt;=O$6)*(MOD((YEAR(O$6)-YEAR($F10))*12+MONTH(O$6)-MONTH($F10),3)=0)),IF($D10="One-off",($F10&gt;=O$5)*($F10&lt;=O$6),0))))))</f>
        <v>0</v>
      </c>
      <c r="P10" s="19">
        <f>IF(OR($E10="",$F10="",$D10=""),0,IF(OR($C10="Loan and finance repayments",$C10="VAT and taxes",$C10="Capital expenditure",$C10="Licences and regulatory fees"),1,1+CostAdj)*$E10*IF($D10="Weekly",(MAX(0,INT((P$6-$F10)/7)+1)-MAX(0,INT((P$5-1-$F10)/7)+1)),IF($D10="Fortnightly",(MAX(0,INT((P$6-$F10)/14)+1)-MAX(0,INT((P$5-1-$F10)/14)+1)),IF($D10="Monthly",((DATE(YEAR(P$5),MONTH(P$5),MIN(DAY($F10),DAY(EOMONTH(P$5,0))))&gt;=MAX(P$5,$F10))*(DATE(YEAR(P$5),MONTH(P$5),MIN(DAY($F10),DAY(EOMONTH(P$5,0))))&lt;=P$6)*(MOD((YEAR(P$5)-YEAR($F10))*12+MONTH(P$5)-MONTH($F10),1)=0)+(MONTH(P$6)&lt;&gt;MONTH(P$5))*(DATE(YEAR(P$6),MONTH(P$6),MIN(DAY($F10),DAY(EOMONTH(P$6,0))))&gt;=$F10)*(DATE(YEAR(P$6),MONTH(P$6),MIN(DAY($F10),DAY(EOMONTH(P$6,0))))&gt;=P$5)*(DATE(YEAR(P$6),MONTH(P$6),MIN(DAY($F10),DAY(EOMONTH(P$6,0))))&lt;=P$6)*(MOD((YEAR(P$6)-YEAR($F10))*12+MONTH(P$6)-MONTH($F10),1)=0)),IF($D10="Quarterly",((DATE(YEAR(P$5),MONTH(P$5),MIN(DAY($F10),DAY(EOMONTH(P$5,0))))&gt;=MAX(P$5,$F10))*(DATE(YEAR(P$5),MONTH(P$5),MIN(DAY($F10),DAY(EOMONTH(P$5,0))))&lt;=P$6)*(MOD((YEAR(P$5)-YEAR($F10))*12+MONTH(P$5)-MONTH($F10),3)=0)+(MONTH(P$6)&lt;&gt;MONTH(P$5))*(DATE(YEAR(P$6),MONTH(P$6),MIN(DAY($F10),DAY(EOMONTH(P$6,0))))&gt;=$F10)*(DATE(YEAR(P$6),MONTH(P$6),MIN(DAY($F10),DAY(EOMONTH(P$6,0))))&gt;=P$5)*(DATE(YEAR(P$6),MONTH(P$6),MIN(DAY($F10),DAY(EOMONTH(P$6,0))))&lt;=P$6)*(MOD((YEAR(P$6)-YEAR($F10))*12+MONTH(P$6)-MONTH($F10),3)=0)),IF($D10="One-off",($F10&gt;=P$5)*($F10&lt;=P$6),0))))))</f>
        <v>0</v>
      </c>
      <c r="Q10" s="19">
        <f>IF(OR($E10="",$F10="",$D10=""),0,IF(OR($C10="Loan and finance repayments",$C10="VAT and taxes",$C10="Capital expenditure",$C10="Licences and regulatory fees"),1,1+CostAdj)*$E10*IF($D10="Weekly",(MAX(0,INT((Q$6-$F10)/7)+1)-MAX(0,INT((Q$5-1-$F10)/7)+1)),IF($D10="Fortnightly",(MAX(0,INT((Q$6-$F10)/14)+1)-MAX(0,INT((Q$5-1-$F10)/14)+1)),IF($D10="Monthly",((DATE(YEAR(Q$5),MONTH(Q$5),MIN(DAY($F10),DAY(EOMONTH(Q$5,0))))&gt;=MAX(Q$5,$F10))*(DATE(YEAR(Q$5),MONTH(Q$5),MIN(DAY($F10),DAY(EOMONTH(Q$5,0))))&lt;=Q$6)*(MOD((YEAR(Q$5)-YEAR($F10))*12+MONTH(Q$5)-MONTH($F10),1)=0)+(MONTH(Q$6)&lt;&gt;MONTH(Q$5))*(DATE(YEAR(Q$6),MONTH(Q$6),MIN(DAY($F10),DAY(EOMONTH(Q$6,0))))&gt;=$F10)*(DATE(YEAR(Q$6),MONTH(Q$6),MIN(DAY($F10),DAY(EOMONTH(Q$6,0))))&gt;=Q$5)*(DATE(YEAR(Q$6),MONTH(Q$6),MIN(DAY($F10),DAY(EOMONTH(Q$6,0))))&lt;=Q$6)*(MOD((YEAR(Q$6)-YEAR($F10))*12+MONTH(Q$6)-MONTH($F10),1)=0)),IF($D10="Quarterly",((DATE(YEAR(Q$5),MONTH(Q$5),MIN(DAY($F10),DAY(EOMONTH(Q$5,0))))&gt;=MAX(Q$5,$F10))*(DATE(YEAR(Q$5),MONTH(Q$5),MIN(DAY($F10),DAY(EOMONTH(Q$5,0))))&lt;=Q$6)*(MOD((YEAR(Q$5)-YEAR($F10))*12+MONTH(Q$5)-MONTH($F10),3)=0)+(MONTH(Q$6)&lt;&gt;MONTH(Q$5))*(DATE(YEAR(Q$6),MONTH(Q$6),MIN(DAY($F10),DAY(EOMONTH(Q$6,0))))&gt;=$F10)*(DATE(YEAR(Q$6),MONTH(Q$6),MIN(DAY($F10),DAY(EOMONTH(Q$6,0))))&gt;=Q$5)*(DATE(YEAR(Q$6),MONTH(Q$6),MIN(DAY($F10),DAY(EOMONTH(Q$6,0))))&lt;=Q$6)*(MOD((YEAR(Q$6)-YEAR($F10))*12+MONTH(Q$6)-MONTH($F10),3)=0)),IF($D10="One-off",($F10&gt;=Q$5)*($F10&lt;=Q$6),0))))))</f>
        <v>95000</v>
      </c>
      <c r="R10" s="19">
        <f>IF(OR($E10="",$F10="",$D10=""),0,IF(OR($C10="Loan and finance repayments",$C10="VAT and taxes",$C10="Capital expenditure",$C10="Licences and regulatory fees"),1,1+CostAdj)*$E10*IF($D10="Weekly",(MAX(0,INT((R$6-$F10)/7)+1)-MAX(0,INT((R$5-1-$F10)/7)+1)),IF($D10="Fortnightly",(MAX(0,INT((R$6-$F10)/14)+1)-MAX(0,INT((R$5-1-$F10)/14)+1)),IF($D10="Monthly",((DATE(YEAR(R$5),MONTH(R$5),MIN(DAY($F10),DAY(EOMONTH(R$5,0))))&gt;=MAX(R$5,$F10))*(DATE(YEAR(R$5),MONTH(R$5),MIN(DAY($F10),DAY(EOMONTH(R$5,0))))&lt;=R$6)*(MOD((YEAR(R$5)-YEAR($F10))*12+MONTH(R$5)-MONTH($F10),1)=0)+(MONTH(R$6)&lt;&gt;MONTH(R$5))*(DATE(YEAR(R$6),MONTH(R$6),MIN(DAY($F10),DAY(EOMONTH(R$6,0))))&gt;=$F10)*(DATE(YEAR(R$6),MONTH(R$6),MIN(DAY($F10),DAY(EOMONTH(R$6,0))))&gt;=R$5)*(DATE(YEAR(R$6),MONTH(R$6),MIN(DAY($F10),DAY(EOMONTH(R$6,0))))&lt;=R$6)*(MOD((YEAR(R$6)-YEAR($F10))*12+MONTH(R$6)-MONTH($F10),1)=0)),IF($D10="Quarterly",((DATE(YEAR(R$5),MONTH(R$5),MIN(DAY($F10),DAY(EOMONTH(R$5,0))))&gt;=MAX(R$5,$F10))*(DATE(YEAR(R$5),MONTH(R$5),MIN(DAY($F10),DAY(EOMONTH(R$5,0))))&lt;=R$6)*(MOD((YEAR(R$5)-YEAR($F10))*12+MONTH(R$5)-MONTH($F10),3)=0)+(MONTH(R$6)&lt;&gt;MONTH(R$5))*(DATE(YEAR(R$6),MONTH(R$6),MIN(DAY($F10),DAY(EOMONTH(R$6,0))))&gt;=$F10)*(DATE(YEAR(R$6),MONTH(R$6),MIN(DAY($F10),DAY(EOMONTH(R$6,0))))&gt;=R$5)*(DATE(YEAR(R$6),MONTH(R$6),MIN(DAY($F10),DAY(EOMONTH(R$6,0))))&lt;=R$6)*(MOD((YEAR(R$6)-YEAR($F10))*12+MONTH(R$6)-MONTH($F10),3)=0)),IF($D10="One-off",($F10&gt;=R$5)*($F10&lt;=R$6),0))))))</f>
        <v>0</v>
      </c>
      <c r="S10" s="19">
        <f>IF(OR($E10="",$F10="",$D10=""),0,IF(OR($C10="Loan and finance repayments",$C10="VAT and taxes",$C10="Capital expenditure",$C10="Licences and regulatory fees"),1,1+CostAdj)*$E10*IF($D10="Weekly",(MAX(0,INT((S$6-$F10)/7)+1)-MAX(0,INT((S$5-1-$F10)/7)+1)),IF($D10="Fortnightly",(MAX(0,INT((S$6-$F10)/14)+1)-MAX(0,INT((S$5-1-$F10)/14)+1)),IF($D10="Monthly",((DATE(YEAR(S$5),MONTH(S$5),MIN(DAY($F10),DAY(EOMONTH(S$5,0))))&gt;=MAX(S$5,$F10))*(DATE(YEAR(S$5),MONTH(S$5),MIN(DAY($F10),DAY(EOMONTH(S$5,0))))&lt;=S$6)*(MOD((YEAR(S$5)-YEAR($F10))*12+MONTH(S$5)-MONTH($F10),1)=0)+(MONTH(S$6)&lt;&gt;MONTH(S$5))*(DATE(YEAR(S$6),MONTH(S$6),MIN(DAY($F10),DAY(EOMONTH(S$6,0))))&gt;=$F10)*(DATE(YEAR(S$6),MONTH(S$6),MIN(DAY($F10),DAY(EOMONTH(S$6,0))))&gt;=S$5)*(DATE(YEAR(S$6),MONTH(S$6),MIN(DAY($F10),DAY(EOMONTH(S$6,0))))&lt;=S$6)*(MOD((YEAR(S$6)-YEAR($F10))*12+MONTH(S$6)-MONTH($F10),1)=0)),IF($D10="Quarterly",((DATE(YEAR(S$5),MONTH(S$5),MIN(DAY($F10),DAY(EOMONTH(S$5,0))))&gt;=MAX(S$5,$F10))*(DATE(YEAR(S$5),MONTH(S$5),MIN(DAY($F10),DAY(EOMONTH(S$5,0))))&lt;=S$6)*(MOD((YEAR(S$5)-YEAR($F10))*12+MONTH(S$5)-MONTH($F10),3)=0)+(MONTH(S$6)&lt;&gt;MONTH(S$5))*(DATE(YEAR(S$6),MONTH(S$6),MIN(DAY($F10),DAY(EOMONTH(S$6,0))))&gt;=$F10)*(DATE(YEAR(S$6),MONTH(S$6),MIN(DAY($F10),DAY(EOMONTH(S$6,0))))&gt;=S$5)*(DATE(YEAR(S$6),MONTH(S$6),MIN(DAY($F10),DAY(EOMONTH(S$6,0))))&lt;=S$6)*(MOD((YEAR(S$6)-YEAR($F10))*12+MONTH(S$6)-MONTH($F10),3)=0)),IF($D10="One-off",($F10&gt;=S$5)*($F10&lt;=S$6),0))))))</f>
        <v>0</v>
      </c>
      <c r="T10" s="19">
        <f>IF(OR($E10="",$F10="",$D10=""),0,IF(OR($C10="Loan and finance repayments",$C10="VAT and taxes",$C10="Capital expenditure",$C10="Licences and regulatory fees"),1,1+CostAdj)*$E10*IF($D10="Weekly",(MAX(0,INT((T$6-$F10)/7)+1)-MAX(0,INT((T$5-1-$F10)/7)+1)),IF($D10="Fortnightly",(MAX(0,INT((T$6-$F10)/14)+1)-MAX(0,INT((T$5-1-$F10)/14)+1)),IF($D10="Monthly",((DATE(YEAR(T$5),MONTH(T$5),MIN(DAY($F10),DAY(EOMONTH(T$5,0))))&gt;=MAX(T$5,$F10))*(DATE(YEAR(T$5),MONTH(T$5),MIN(DAY($F10),DAY(EOMONTH(T$5,0))))&lt;=T$6)*(MOD((YEAR(T$5)-YEAR($F10))*12+MONTH(T$5)-MONTH($F10),1)=0)+(MONTH(T$6)&lt;&gt;MONTH(T$5))*(DATE(YEAR(T$6),MONTH(T$6),MIN(DAY($F10),DAY(EOMONTH(T$6,0))))&gt;=$F10)*(DATE(YEAR(T$6),MONTH(T$6),MIN(DAY($F10),DAY(EOMONTH(T$6,0))))&gt;=T$5)*(DATE(YEAR(T$6),MONTH(T$6),MIN(DAY($F10),DAY(EOMONTH(T$6,0))))&lt;=T$6)*(MOD((YEAR(T$6)-YEAR($F10))*12+MONTH(T$6)-MONTH($F10),1)=0)),IF($D10="Quarterly",((DATE(YEAR(T$5),MONTH(T$5),MIN(DAY($F10),DAY(EOMONTH(T$5,0))))&gt;=MAX(T$5,$F10))*(DATE(YEAR(T$5),MONTH(T$5),MIN(DAY($F10),DAY(EOMONTH(T$5,0))))&lt;=T$6)*(MOD((YEAR(T$5)-YEAR($F10))*12+MONTH(T$5)-MONTH($F10),3)=0)+(MONTH(T$6)&lt;&gt;MONTH(T$5))*(DATE(YEAR(T$6),MONTH(T$6),MIN(DAY($F10),DAY(EOMONTH(T$6,0))))&gt;=$F10)*(DATE(YEAR(T$6),MONTH(T$6),MIN(DAY($F10),DAY(EOMONTH(T$6,0))))&gt;=T$5)*(DATE(YEAR(T$6),MONTH(T$6),MIN(DAY($F10),DAY(EOMONTH(T$6,0))))&lt;=T$6)*(MOD((YEAR(T$6)-YEAR($F10))*12+MONTH(T$6)-MONTH($F10),3)=0)),IF($D10="One-off",($F10&gt;=T$5)*($F10&lt;=T$6),0))))))</f>
        <v>0</v>
      </c>
      <c r="U10" s="36">
        <f>SUM(H10:T10)</f>
        <v>285000</v>
      </c>
    </row>
    <row r="11" spans="1:21">
      <c r="A11" s="42">
        <v>3</v>
      </c>
      <c r="B11" s="7" t="s">
        <v>130</v>
      </c>
      <c r="C11" s="7" t="s">
        <v>2</v>
      </c>
      <c r="D11" s="7" t="s">
        <v>16</v>
      </c>
      <c r="E11" s="18">
        <v>210000</v>
      </c>
      <c r="F11" s="17">
        <v>46303</v>
      </c>
      <c r="G11" s="7" t="s">
        <v>131</v>
      </c>
      <c r="H11" s="19">
        <f>IF(OR($E11="",$F11="",$D11=""),0,IF(OR($C11="Loan and finance repayments",$C11="VAT and taxes",$C11="Capital expenditure",$C11="Licences and regulatory fees"),1,1+CostAdj)*$E11*IF($D11="Weekly",(MAX(0,INT((H$6-$F11)/7)+1)-MAX(0,INT((H$5-1-$F11)/7)+1)),IF($D11="Fortnightly",(MAX(0,INT((H$6-$F11)/14)+1)-MAX(0,INT((H$5-1-$F11)/14)+1)),IF($D11="Monthly",((DATE(YEAR(H$5),MONTH(H$5),MIN(DAY($F11),DAY(EOMONTH(H$5,0))))&gt;=MAX(H$5,$F11))*(DATE(YEAR(H$5),MONTH(H$5),MIN(DAY($F11),DAY(EOMONTH(H$5,0))))&lt;=H$6)*(MOD((YEAR(H$5)-YEAR($F11))*12+MONTH(H$5)-MONTH($F11),1)=0)+(MONTH(H$6)&lt;&gt;MONTH(H$5))*(DATE(YEAR(H$6),MONTH(H$6),MIN(DAY($F11),DAY(EOMONTH(H$6,0))))&gt;=$F11)*(DATE(YEAR(H$6),MONTH(H$6),MIN(DAY($F11),DAY(EOMONTH(H$6,0))))&gt;=H$5)*(DATE(YEAR(H$6),MONTH(H$6),MIN(DAY($F11),DAY(EOMONTH(H$6,0))))&lt;=H$6)*(MOD((YEAR(H$6)-YEAR($F11))*12+MONTH(H$6)-MONTH($F11),1)=0)),IF($D11="Quarterly",((DATE(YEAR(H$5),MONTH(H$5),MIN(DAY($F11),DAY(EOMONTH(H$5,0))))&gt;=MAX(H$5,$F11))*(DATE(YEAR(H$5),MONTH(H$5),MIN(DAY($F11),DAY(EOMONTH(H$5,0))))&lt;=H$6)*(MOD((YEAR(H$5)-YEAR($F11))*12+MONTH(H$5)-MONTH($F11),3)=0)+(MONTH(H$6)&lt;&gt;MONTH(H$5))*(DATE(YEAR(H$6),MONTH(H$6),MIN(DAY($F11),DAY(EOMONTH(H$6,0))))&gt;=$F11)*(DATE(YEAR(H$6),MONTH(H$6),MIN(DAY($F11),DAY(EOMONTH(H$6,0))))&gt;=H$5)*(DATE(YEAR(H$6),MONTH(H$6),MIN(DAY($F11),DAY(EOMONTH(H$6,0))))&lt;=H$6)*(MOD((YEAR(H$6)-YEAR($F11))*12+MONTH(H$6)-MONTH($F11),3)=0)),IF($D11="One-off",($F11&gt;=H$5)*($F11&lt;=H$6),0))))))</f>
        <v>210000</v>
      </c>
      <c r="I11" s="19">
        <f>IF(OR($E11="",$F11="",$D11=""),0,IF(OR($C11="Loan and finance repayments",$C11="VAT and taxes",$C11="Capital expenditure",$C11="Licences and regulatory fees"),1,1+CostAdj)*$E11*IF($D11="Weekly",(MAX(0,INT((I$6-$F11)/7)+1)-MAX(0,INT((I$5-1-$F11)/7)+1)),IF($D11="Fortnightly",(MAX(0,INT((I$6-$F11)/14)+1)-MAX(0,INT((I$5-1-$F11)/14)+1)),IF($D11="Monthly",((DATE(YEAR(I$5),MONTH(I$5),MIN(DAY($F11),DAY(EOMONTH(I$5,0))))&gt;=MAX(I$5,$F11))*(DATE(YEAR(I$5),MONTH(I$5),MIN(DAY($F11),DAY(EOMONTH(I$5,0))))&lt;=I$6)*(MOD((YEAR(I$5)-YEAR($F11))*12+MONTH(I$5)-MONTH($F11),1)=0)+(MONTH(I$6)&lt;&gt;MONTH(I$5))*(DATE(YEAR(I$6),MONTH(I$6),MIN(DAY($F11),DAY(EOMONTH(I$6,0))))&gt;=$F11)*(DATE(YEAR(I$6),MONTH(I$6),MIN(DAY($F11),DAY(EOMONTH(I$6,0))))&gt;=I$5)*(DATE(YEAR(I$6),MONTH(I$6),MIN(DAY($F11),DAY(EOMONTH(I$6,0))))&lt;=I$6)*(MOD((YEAR(I$6)-YEAR($F11))*12+MONTH(I$6)-MONTH($F11),1)=0)),IF($D11="Quarterly",((DATE(YEAR(I$5),MONTH(I$5),MIN(DAY($F11),DAY(EOMONTH(I$5,0))))&gt;=MAX(I$5,$F11))*(DATE(YEAR(I$5),MONTH(I$5),MIN(DAY($F11),DAY(EOMONTH(I$5,0))))&lt;=I$6)*(MOD((YEAR(I$5)-YEAR($F11))*12+MONTH(I$5)-MONTH($F11),3)=0)+(MONTH(I$6)&lt;&gt;MONTH(I$5))*(DATE(YEAR(I$6),MONTH(I$6),MIN(DAY($F11),DAY(EOMONTH(I$6,0))))&gt;=$F11)*(DATE(YEAR(I$6),MONTH(I$6),MIN(DAY($F11),DAY(EOMONTH(I$6,0))))&gt;=I$5)*(DATE(YEAR(I$6),MONTH(I$6),MIN(DAY($F11),DAY(EOMONTH(I$6,0))))&lt;=I$6)*(MOD((YEAR(I$6)-YEAR($F11))*12+MONTH(I$6)-MONTH($F11),3)=0)),IF($D11="One-off",($F11&gt;=I$5)*($F11&lt;=I$6),0))))))</f>
        <v>0</v>
      </c>
      <c r="J11" s="19">
        <f>IF(OR($E11="",$F11="",$D11=""),0,IF(OR($C11="Loan and finance repayments",$C11="VAT and taxes",$C11="Capital expenditure",$C11="Licences and regulatory fees"),1,1+CostAdj)*$E11*IF($D11="Weekly",(MAX(0,INT((J$6-$F11)/7)+1)-MAX(0,INT((J$5-1-$F11)/7)+1)),IF($D11="Fortnightly",(MAX(0,INT((J$6-$F11)/14)+1)-MAX(0,INT((J$5-1-$F11)/14)+1)),IF($D11="Monthly",((DATE(YEAR(J$5),MONTH(J$5),MIN(DAY($F11),DAY(EOMONTH(J$5,0))))&gt;=MAX(J$5,$F11))*(DATE(YEAR(J$5),MONTH(J$5),MIN(DAY($F11),DAY(EOMONTH(J$5,0))))&lt;=J$6)*(MOD((YEAR(J$5)-YEAR($F11))*12+MONTH(J$5)-MONTH($F11),1)=0)+(MONTH(J$6)&lt;&gt;MONTH(J$5))*(DATE(YEAR(J$6),MONTH(J$6),MIN(DAY($F11),DAY(EOMONTH(J$6,0))))&gt;=$F11)*(DATE(YEAR(J$6),MONTH(J$6),MIN(DAY($F11),DAY(EOMONTH(J$6,0))))&gt;=J$5)*(DATE(YEAR(J$6),MONTH(J$6),MIN(DAY($F11),DAY(EOMONTH(J$6,0))))&lt;=J$6)*(MOD((YEAR(J$6)-YEAR($F11))*12+MONTH(J$6)-MONTH($F11),1)=0)),IF($D11="Quarterly",((DATE(YEAR(J$5),MONTH(J$5),MIN(DAY($F11),DAY(EOMONTH(J$5,0))))&gt;=MAX(J$5,$F11))*(DATE(YEAR(J$5),MONTH(J$5),MIN(DAY($F11),DAY(EOMONTH(J$5,0))))&lt;=J$6)*(MOD((YEAR(J$5)-YEAR($F11))*12+MONTH(J$5)-MONTH($F11),3)=0)+(MONTH(J$6)&lt;&gt;MONTH(J$5))*(DATE(YEAR(J$6),MONTH(J$6),MIN(DAY($F11),DAY(EOMONTH(J$6,0))))&gt;=$F11)*(DATE(YEAR(J$6),MONTH(J$6),MIN(DAY($F11),DAY(EOMONTH(J$6,0))))&gt;=J$5)*(DATE(YEAR(J$6),MONTH(J$6),MIN(DAY($F11),DAY(EOMONTH(J$6,0))))&lt;=J$6)*(MOD((YEAR(J$6)-YEAR($F11))*12+MONTH(J$6)-MONTH($F11),3)=0)),IF($D11="One-off",($F11&gt;=J$5)*($F11&lt;=J$6),0))))))</f>
        <v>0</v>
      </c>
      <c r="K11" s="19">
        <f>IF(OR($E11="",$F11="",$D11=""),0,IF(OR($C11="Loan and finance repayments",$C11="VAT and taxes",$C11="Capital expenditure",$C11="Licences and regulatory fees"),1,1+CostAdj)*$E11*IF($D11="Weekly",(MAX(0,INT((K$6-$F11)/7)+1)-MAX(0,INT((K$5-1-$F11)/7)+1)),IF($D11="Fortnightly",(MAX(0,INT((K$6-$F11)/14)+1)-MAX(0,INT((K$5-1-$F11)/14)+1)),IF($D11="Monthly",((DATE(YEAR(K$5),MONTH(K$5),MIN(DAY($F11),DAY(EOMONTH(K$5,0))))&gt;=MAX(K$5,$F11))*(DATE(YEAR(K$5),MONTH(K$5),MIN(DAY($F11),DAY(EOMONTH(K$5,0))))&lt;=K$6)*(MOD((YEAR(K$5)-YEAR($F11))*12+MONTH(K$5)-MONTH($F11),1)=0)+(MONTH(K$6)&lt;&gt;MONTH(K$5))*(DATE(YEAR(K$6),MONTH(K$6),MIN(DAY($F11),DAY(EOMONTH(K$6,0))))&gt;=$F11)*(DATE(YEAR(K$6),MONTH(K$6),MIN(DAY($F11),DAY(EOMONTH(K$6,0))))&gt;=K$5)*(DATE(YEAR(K$6),MONTH(K$6),MIN(DAY($F11),DAY(EOMONTH(K$6,0))))&lt;=K$6)*(MOD((YEAR(K$6)-YEAR($F11))*12+MONTH(K$6)-MONTH($F11),1)=0)),IF($D11="Quarterly",((DATE(YEAR(K$5),MONTH(K$5),MIN(DAY($F11),DAY(EOMONTH(K$5,0))))&gt;=MAX(K$5,$F11))*(DATE(YEAR(K$5),MONTH(K$5),MIN(DAY($F11),DAY(EOMONTH(K$5,0))))&lt;=K$6)*(MOD((YEAR(K$5)-YEAR($F11))*12+MONTH(K$5)-MONTH($F11),3)=0)+(MONTH(K$6)&lt;&gt;MONTH(K$5))*(DATE(YEAR(K$6),MONTH(K$6),MIN(DAY($F11),DAY(EOMONTH(K$6,0))))&gt;=$F11)*(DATE(YEAR(K$6),MONTH(K$6),MIN(DAY($F11),DAY(EOMONTH(K$6,0))))&gt;=K$5)*(DATE(YEAR(K$6),MONTH(K$6),MIN(DAY($F11),DAY(EOMONTH(K$6,0))))&lt;=K$6)*(MOD((YEAR(K$6)-YEAR($F11))*12+MONTH(K$6)-MONTH($F11),3)=0)),IF($D11="One-off",($F11&gt;=K$5)*($F11&lt;=K$6),0))))))</f>
        <v>0</v>
      </c>
      <c r="L11" s="19">
        <f>IF(OR($E11="",$F11="",$D11=""),0,IF(OR($C11="Loan and finance repayments",$C11="VAT and taxes",$C11="Capital expenditure",$C11="Licences and regulatory fees"),1,1+CostAdj)*$E11*IF($D11="Weekly",(MAX(0,INT((L$6-$F11)/7)+1)-MAX(0,INT((L$5-1-$F11)/7)+1)),IF($D11="Fortnightly",(MAX(0,INT((L$6-$F11)/14)+1)-MAX(0,INT((L$5-1-$F11)/14)+1)),IF($D11="Monthly",((DATE(YEAR(L$5),MONTH(L$5),MIN(DAY($F11),DAY(EOMONTH(L$5,0))))&gt;=MAX(L$5,$F11))*(DATE(YEAR(L$5),MONTH(L$5),MIN(DAY($F11),DAY(EOMONTH(L$5,0))))&lt;=L$6)*(MOD((YEAR(L$5)-YEAR($F11))*12+MONTH(L$5)-MONTH($F11),1)=0)+(MONTH(L$6)&lt;&gt;MONTH(L$5))*(DATE(YEAR(L$6),MONTH(L$6),MIN(DAY($F11),DAY(EOMONTH(L$6,0))))&gt;=$F11)*(DATE(YEAR(L$6),MONTH(L$6),MIN(DAY($F11),DAY(EOMONTH(L$6,0))))&gt;=L$5)*(DATE(YEAR(L$6),MONTH(L$6),MIN(DAY($F11),DAY(EOMONTH(L$6,0))))&lt;=L$6)*(MOD((YEAR(L$6)-YEAR($F11))*12+MONTH(L$6)-MONTH($F11),1)=0)),IF($D11="Quarterly",((DATE(YEAR(L$5),MONTH(L$5),MIN(DAY($F11),DAY(EOMONTH(L$5,0))))&gt;=MAX(L$5,$F11))*(DATE(YEAR(L$5),MONTH(L$5),MIN(DAY($F11),DAY(EOMONTH(L$5,0))))&lt;=L$6)*(MOD((YEAR(L$5)-YEAR($F11))*12+MONTH(L$5)-MONTH($F11),3)=0)+(MONTH(L$6)&lt;&gt;MONTH(L$5))*(DATE(YEAR(L$6),MONTH(L$6),MIN(DAY($F11),DAY(EOMONTH(L$6,0))))&gt;=$F11)*(DATE(YEAR(L$6),MONTH(L$6),MIN(DAY($F11),DAY(EOMONTH(L$6,0))))&gt;=L$5)*(DATE(YEAR(L$6),MONTH(L$6),MIN(DAY($F11),DAY(EOMONTH(L$6,0))))&lt;=L$6)*(MOD((YEAR(L$6)-YEAR($F11))*12+MONTH(L$6)-MONTH($F11),3)=0)),IF($D11="One-off",($F11&gt;=L$5)*($F11&lt;=L$6),0))))))</f>
        <v>0</v>
      </c>
      <c r="M11" s="19">
        <f>IF(OR($E11="",$F11="",$D11=""),0,IF(OR($C11="Loan and finance repayments",$C11="VAT and taxes",$C11="Capital expenditure",$C11="Licences and regulatory fees"),1,1+CostAdj)*$E11*IF($D11="Weekly",(MAX(0,INT((M$6-$F11)/7)+1)-MAX(0,INT((M$5-1-$F11)/7)+1)),IF($D11="Fortnightly",(MAX(0,INT((M$6-$F11)/14)+1)-MAX(0,INT((M$5-1-$F11)/14)+1)),IF($D11="Monthly",((DATE(YEAR(M$5),MONTH(M$5),MIN(DAY($F11),DAY(EOMONTH(M$5,0))))&gt;=MAX(M$5,$F11))*(DATE(YEAR(M$5),MONTH(M$5),MIN(DAY($F11),DAY(EOMONTH(M$5,0))))&lt;=M$6)*(MOD((YEAR(M$5)-YEAR($F11))*12+MONTH(M$5)-MONTH($F11),1)=0)+(MONTH(M$6)&lt;&gt;MONTH(M$5))*(DATE(YEAR(M$6),MONTH(M$6),MIN(DAY($F11),DAY(EOMONTH(M$6,0))))&gt;=$F11)*(DATE(YEAR(M$6),MONTH(M$6),MIN(DAY($F11),DAY(EOMONTH(M$6,0))))&gt;=M$5)*(DATE(YEAR(M$6),MONTH(M$6),MIN(DAY($F11),DAY(EOMONTH(M$6,0))))&lt;=M$6)*(MOD((YEAR(M$6)-YEAR($F11))*12+MONTH(M$6)-MONTH($F11),1)=0)),IF($D11="Quarterly",((DATE(YEAR(M$5),MONTH(M$5),MIN(DAY($F11),DAY(EOMONTH(M$5,0))))&gt;=MAX(M$5,$F11))*(DATE(YEAR(M$5),MONTH(M$5),MIN(DAY($F11),DAY(EOMONTH(M$5,0))))&lt;=M$6)*(MOD((YEAR(M$5)-YEAR($F11))*12+MONTH(M$5)-MONTH($F11),3)=0)+(MONTH(M$6)&lt;&gt;MONTH(M$5))*(DATE(YEAR(M$6),MONTH(M$6),MIN(DAY($F11),DAY(EOMONTH(M$6,0))))&gt;=$F11)*(DATE(YEAR(M$6),MONTH(M$6),MIN(DAY($F11),DAY(EOMONTH(M$6,0))))&gt;=M$5)*(DATE(YEAR(M$6),MONTH(M$6),MIN(DAY($F11),DAY(EOMONTH(M$6,0))))&lt;=M$6)*(MOD((YEAR(M$6)-YEAR($F11))*12+MONTH(M$6)-MONTH($F11),3)=0)),IF($D11="One-off",($F11&gt;=M$5)*($F11&lt;=M$6),0))))))</f>
        <v>0</v>
      </c>
      <c r="N11" s="19">
        <f>IF(OR($E11="",$F11="",$D11=""),0,IF(OR($C11="Loan and finance repayments",$C11="VAT and taxes",$C11="Capital expenditure",$C11="Licences and regulatory fees"),1,1+CostAdj)*$E11*IF($D11="Weekly",(MAX(0,INT((N$6-$F11)/7)+1)-MAX(0,INT((N$5-1-$F11)/7)+1)),IF($D11="Fortnightly",(MAX(0,INT((N$6-$F11)/14)+1)-MAX(0,INT((N$5-1-$F11)/14)+1)),IF($D11="Monthly",((DATE(YEAR(N$5),MONTH(N$5),MIN(DAY($F11),DAY(EOMONTH(N$5,0))))&gt;=MAX(N$5,$F11))*(DATE(YEAR(N$5),MONTH(N$5),MIN(DAY($F11),DAY(EOMONTH(N$5,0))))&lt;=N$6)*(MOD((YEAR(N$5)-YEAR($F11))*12+MONTH(N$5)-MONTH($F11),1)=0)+(MONTH(N$6)&lt;&gt;MONTH(N$5))*(DATE(YEAR(N$6),MONTH(N$6),MIN(DAY($F11),DAY(EOMONTH(N$6,0))))&gt;=$F11)*(DATE(YEAR(N$6),MONTH(N$6),MIN(DAY($F11),DAY(EOMONTH(N$6,0))))&gt;=N$5)*(DATE(YEAR(N$6),MONTH(N$6),MIN(DAY($F11),DAY(EOMONTH(N$6,0))))&lt;=N$6)*(MOD((YEAR(N$6)-YEAR($F11))*12+MONTH(N$6)-MONTH($F11),1)=0)),IF($D11="Quarterly",((DATE(YEAR(N$5),MONTH(N$5),MIN(DAY($F11),DAY(EOMONTH(N$5,0))))&gt;=MAX(N$5,$F11))*(DATE(YEAR(N$5),MONTH(N$5),MIN(DAY($F11),DAY(EOMONTH(N$5,0))))&lt;=N$6)*(MOD((YEAR(N$5)-YEAR($F11))*12+MONTH(N$5)-MONTH($F11),3)=0)+(MONTH(N$6)&lt;&gt;MONTH(N$5))*(DATE(YEAR(N$6),MONTH(N$6),MIN(DAY($F11),DAY(EOMONTH(N$6,0))))&gt;=$F11)*(DATE(YEAR(N$6),MONTH(N$6),MIN(DAY($F11),DAY(EOMONTH(N$6,0))))&gt;=N$5)*(DATE(YEAR(N$6),MONTH(N$6),MIN(DAY($F11),DAY(EOMONTH(N$6,0))))&lt;=N$6)*(MOD((YEAR(N$6)-YEAR($F11))*12+MONTH(N$6)-MONTH($F11),3)=0)),IF($D11="One-off",($F11&gt;=N$5)*($F11&lt;=N$6),0))))))</f>
        <v>0</v>
      </c>
      <c r="O11" s="19">
        <f>IF(OR($E11="",$F11="",$D11=""),0,IF(OR($C11="Loan and finance repayments",$C11="VAT and taxes",$C11="Capital expenditure",$C11="Licences and regulatory fees"),1,1+CostAdj)*$E11*IF($D11="Weekly",(MAX(0,INT((O$6-$F11)/7)+1)-MAX(0,INT((O$5-1-$F11)/7)+1)),IF($D11="Fortnightly",(MAX(0,INT((O$6-$F11)/14)+1)-MAX(0,INT((O$5-1-$F11)/14)+1)),IF($D11="Monthly",((DATE(YEAR(O$5),MONTH(O$5),MIN(DAY($F11),DAY(EOMONTH(O$5,0))))&gt;=MAX(O$5,$F11))*(DATE(YEAR(O$5),MONTH(O$5),MIN(DAY($F11),DAY(EOMONTH(O$5,0))))&lt;=O$6)*(MOD((YEAR(O$5)-YEAR($F11))*12+MONTH(O$5)-MONTH($F11),1)=0)+(MONTH(O$6)&lt;&gt;MONTH(O$5))*(DATE(YEAR(O$6),MONTH(O$6),MIN(DAY($F11),DAY(EOMONTH(O$6,0))))&gt;=$F11)*(DATE(YEAR(O$6),MONTH(O$6),MIN(DAY($F11),DAY(EOMONTH(O$6,0))))&gt;=O$5)*(DATE(YEAR(O$6),MONTH(O$6),MIN(DAY($F11),DAY(EOMONTH(O$6,0))))&lt;=O$6)*(MOD((YEAR(O$6)-YEAR($F11))*12+MONTH(O$6)-MONTH($F11),1)=0)),IF($D11="Quarterly",((DATE(YEAR(O$5),MONTH(O$5),MIN(DAY($F11),DAY(EOMONTH(O$5,0))))&gt;=MAX(O$5,$F11))*(DATE(YEAR(O$5),MONTH(O$5),MIN(DAY($F11),DAY(EOMONTH(O$5,0))))&lt;=O$6)*(MOD((YEAR(O$5)-YEAR($F11))*12+MONTH(O$5)-MONTH($F11),3)=0)+(MONTH(O$6)&lt;&gt;MONTH(O$5))*(DATE(YEAR(O$6),MONTH(O$6),MIN(DAY($F11),DAY(EOMONTH(O$6,0))))&gt;=$F11)*(DATE(YEAR(O$6),MONTH(O$6),MIN(DAY($F11),DAY(EOMONTH(O$6,0))))&gt;=O$5)*(DATE(YEAR(O$6),MONTH(O$6),MIN(DAY($F11),DAY(EOMONTH(O$6,0))))&lt;=O$6)*(MOD((YEAR(O$6)-YEAR($F11))*12+MONTH(O$6)-MONTH($F11),3)=0)),IF($D11="One-off",($F11&gt;=O$5)*($F11&lt;=O$6),0))))))</f>
        <v>0</v>
      </c>
      <c r="P11" s="19">
        <f>IF(OR($E11="",$F11="",$D11=""),0,IF(OR($C11="Loan and finance repayments",$C11="VAT and taxes",$C11="Capital expenditure",$C11="Licences and regulatory fees"),1,1+CostAdj)*$E11*IF($D11="Weekly",(MAX(0,INT((P$6-$F11)/7)+1)-MAX(0,INT((P$5-1-$F11)/7)+1)),IF($D11="Fortnightly",(MAX(0,INT((P$6-$F11)/14)+1)-MAX(0,INT((P$5-1-$F11)/14)+1)),IF($D11="Monthly",((DATE(YEAR(P$5),MONTH(P$5),MIN(DAY($F11),DAY(EOMONTH(P$5,0))))&gt;=MAX(P$5,$F11))*(DATE(YEAR(P$5),MONTH(P$5),MIN(DAY($F11),DAY(EOMONTH(P$5,0))))&lt;=P$6)*(MOD((YEAR(P$5)-YEAR($F11))*12+MONTH(P$5)-MONTH($F11),1)=0)+(MONTH(P$6)&lt;&gt;MONTH(P$5))*(DATE(YEAR(P$6),MONTH(P$6),MIN(DAY($F11),DAY(EOMONTH(P$6,0))))&gt;=$F11)*(DATE(YEAR(P$6),MONTH(P$6),MIN(DAY($F11),DAY(EOMONTH(P$6,0))))&gt;=P$5)*(DATE(YEAR(P$6),MONTH(P$6),MIN(DAY($F11),DAY(EOMONTH(P$6,0))))&lt;=P$6)*(MOD((YEAR(P$6)-YEAR($F11))*12+MONTH(P$6)-MONTH($F11),1)=0)),IF($D11="Quarterly",((DATE(YEAR(P$5),MONTH(P$5),MIN(DAY($F11),DAY(EOMONTH(P$5,0))))&gt;=MAX(P$5,$F11))*(DATE(YEAR(P$5),MONTH(P$5),MIN(DAY($F11),DAY(EOMONTH(P$5,0))))&lt;=P$6)*(MOD((YEAR(P$5)-YEAR($F11))*12+MONTH(P$5)-MONTH($F11),3)=0)+(MONTH(P$6)&lt;&gt;MONTH(P$5))*(DATE(YEAR(P$6),MONTH(P$6),MIN(DAY($F11),DAY(EOMONTH(P$6,0))))&gt;=$F11)*(DATE(YEAR(P$6),MONTH(P$6),MIN(DAY($F11),DAY(EOMONTH(P$6,0))))&gt;=P$5)*(DATE(YEAR(P$6),MONTH(P$6),MIN(DAY($F11),DAY(EOMONTH(P$6,0))))&lt;=P$6)*(MOD((YEAR(P$6)-YEAR($F11))*12+MONTH(P$6)-MONTH($F11),3)=0)),IF($D11="One-off",($F11&gt;=P$5)*($F11&lt;=P$6),0))))))</f>
        <v>0</v>
      </c>
      <c r="Q11" s="19">
        <f>IF(OR($E11="",$F11="",$D11=""),0,IF(OR($C11="Loan and finance repayments",$C11="VAT and taxes",$C11="Capital expenditure",$C11="Licences and regulatory fees"),1,1+CostAdj)*$E11*IF($D11="Weekly",(MAX(0,INT((Q$6-$F11)/7)+1)-MAX(0,INT((Q$5-1-$F11)/7)+1)),IF($D11="Fortnightly",(MAX(0,INT((Q$6-$F11)/14)+1)-MAX(0,INT((Q$5-1-$F11)/14)+1)),IF($D11="Monthly",((DATE(YEAR(Q$5),MONTH(Q$5),MIN(DAY($F11),DAY(EOMONTH(Q$5,0))))&gt;=MAX(Q$5,$F11))*(DATE(YEAR(Q$5),MONTH(Q$5),MIN(DAY($F11),DAY(EOMONTH(Q$5,0))))&lt;=Q$6)*(MOD((YEAR(Q$5)-YEAR($F11))*12+MONTH(Q$5)-MONTH($F11),1)=0)+(MONTH(Q$6)&lt;&gt;MONTH(Q$5))*(DATE(YEAR(Q$6),MONTH(Q$6),MIN(DAY($F11),DAY(EOMONTH(Q$6,0))))&gt;=$F11)*(DATE(YEAR(Q$6),MONTH(Q$6),MIN(DAY($F11),DAY(EOMONTH(Q$6,0))))&gt;=Q$5)*(DATE(YEAR(Q$6),MONTH(Q$6),MIN(DAY($F11),DAY(EOMONTH(Q$6,0))))&lt;=Q$6)*(MOD((YEAR(Q$6)-YEAR($F11))*12+MONTH(Q$6)-MONTH($F11),1)=0)),IF($D11="Quarterly",((DATE(YEAR(Q$5),MONTH(Q$5),MIN(DAY($F11),DAY(EOMONTH(Q$5,0))))&gt;=MAX(Q$5,$F11))*(DATE(YEAR(Q$5),MONTH(Q$5),MIN(DAY($F11),DAY(EOMONTH(Q$5,0))))&lt;=Q$6)*(MOD((YEAR(Q$5)-YEAR($F11))*12+MONTH(Q$5)-MONTH($F11),3)=0)+(MONTH(Q$6)&lt;&gt;MONTH(Q$5))*(DATE(YEAR(Q$6),MONTH(Q$6),MIN(DAY($F11),DAY(EOMONTH(Q$6,0))))&gt;=$F11)*(DATE(YEAR(Q$6),MONTH(Q$6),MIN(DAY($F11),DAY(EOMONTH(Q$6,0))))&gt;=Q$5)*(DATE(YEAR(Q$6),MONTH(Q$6),MIN(DAY($F11),DAY(EOMONTH(Q$6,0))))&lt;=Q$6)*(MOD((YEAR(Q$6)-YEAR($F11))*12+MONTH(Q$6)-MONTH($F11),3)=0)),IF($D11="One-off",($F11&gt;=Q$5)*($F11&lt;=Q$6),0))))))</f>
        <v>0</v>
      </c>
      <c r="R11" s="19">
        <f>IF(OR($E11="",$F11="",$D11=""),0,IF(OR($C11="Loan and finance repayments",$C11="VAT and taxes",$C11="Capital expenditure",$C11="Licences and regulatory fees"),1,1+CostAdj)*$E11*IF($D11="Weekly",(MAX(0,INT((R$6-$F11)/7)+1)-MAX(0,INT((R$5-1-$F11)/7)+1)),IF($D11="Fortnightly",(MAX(0,INT((R$6-$F11)/14)+1)-MAX(0,INT((R$5-1-$F11)/14)+1)),IF($D11="Monthly",((DATE(YEAR(R$5),MONTH(R$5),MIN(DAY($F11),DAY(EOMONTH(R$5,0))))&gt;=MAX(R$5,$F11))*(DATE(YEAR(R$5),MONTH(R$5),MIN(DAY($F11),DAY(EOMONTH(R$5,0))))&lt;=R$6)*(MOD((YEAR(R$5)-YEAR($F11))*12+MONTH(R$5)-MONTH($F11),1)=0)+(MONTH(R$6)&lt;&gt;MONTH(R$5))*(DATE(YEAR(R$6),MONTH(R$6),MIN(DAY($F11),DAY(EOMONTH(R$6,0))))&gt;=$F11)*(DATE(YEAR(R$6),MONTH(R$6),MIN(DAY($F11),DAY(EOMONTH(R$6,0))))&gt;=R$5)*(DATE(YEAR(R$6),MONTH(R$6),MIN(DAY($F11),DAY(EOMONTH(R$6,0))))&lt;=R$6)*(MOD((YEAR(R$6)-YEAR($F11))*12+MONTH(R$6)-MONTH($F11),1)=0)),IF($D11="Quarterly",((DATE(YEAR(R$5),MONTH(R$5),MIN(DAY($F11),DAY(EOMONTH(R$5,0))))&gt;=MAX(R$5,$F11))*(DATE(YEAR(R$5),MONTH(R$5),MIN(DAY($F11),DAY(EOMONTH(R$5,0))))&lt;=R$6)*(MOD((YEAR(R$5)-YEAR($F11))*12+MONTH(R$5)-MONTH($F11),3)=0)+(MONTH(R$6)&lt;&gt;MONTH(R$5))*(DATE(YEAR(R$6),MONTH(R$6),MIN(DAY($F11),DAY(EOMONTH(R$6,0))))&gt;=$F11)*(DATE(YEAR(R$6),MONTH(R$6),MIN(DAY($F11),DAY(EOMONTH(R$6,0))))&gt;=R$5)*(DATE(YEAR(R$6),MONTH(R$6),MIN(DAY($F11),DAY(EOMONTH(R$6,0))))&lt;=R$6)*(MOD((YEAR(R$6)-YEAR($F11))*12+MONTH(R$6)-MONTH($F11),3)=0)),IF($D11="One-off",($F11&gt;=R$5)*($F11&lt;=R$6),0))))))</f>
        <v>0</v>
      </c>
      <c r="S11" s="19">
        <f>IF(OR($E11="",$F11="",$D11=""),0,IF(OR($C11="Loan and finance repayments",$C11="VAT and taxes",$C11="Capital expenditure",$C11="Licences and regulatory fees"),1,1+CostAdj)*$E11*IF($D11="Weekly",(MAX(0,INT((S$6-$F11)/7)+1)-MAX(0,INT((S$5-1-$F11)/7)+1)),IF($D11="Fortnightly",(MAX(0,INT((S$6-$F11)/14)+1)-MAX(0,INT((S$5-1-$F11)/14)+1)),IF($D11="Monthly",((DATE(YEAR(S$5),MONTH(S$5),MIN(DAY($F11),DAY(EOMONTH(S$5,0))))&gt;=MAX(S$5,$F11))*(DATE(YEAR(S$5),MONTH(S$5),MIN(DAY($F11),DAY(EOMONTH(S$5,0))))&lt;=S$6)*(MOD((YEAR(S$5)-YEAR($F11))*12+MONTH(S$5)-MONTH($F11),1)=0)+(MONTH(S$6)&lt;&gt;MONTH(S$5))*(DATE(YEAR(S$6),MONTH(S$6),MIN(DAY($F11),DAY(EOMONTH(S$6,0))))&gt;=$F11)*(DATE(YEAR(S$6),MONTH(S$6),MIN(DAY($F11),DAY(EOMONTH(S$6,0))))&gt;=S$5)*(DATE(YEAR(S$6),MONTH(S$6),MIN(DAY($F11),DAY(EOMONTH(S$6,0))))&lt;=S$6)*(MOD((YEAR(S$6)-YEAR($F11))*12+MONTH(S$6)-MONTH($F11),1)=0)),IF($D11="Quarterly",((DATE(YEAR(S$5),MONTH(S$5),MIN(DAY($F11),DAY(EOMONTH(S$5,0))))&gt;=MAX(S$5,$F11))*(DATE(YEAR(S$5),MONTH(S$5),MIN(DAY($F11),DAY(EOMONTH(S$5,0))))&lt;=S$6)*(MOD((YEAR(S$5)-YEAR($F11))*12+MONTH(S$5)-MONTH($F11),3)=0)+(MONTH(S$6)&lt;&gt;MONTH(S$5))*(DATE(YEAR(S$6),MONTH(S$6),MIN(DAY($F11),DAY(EOMONTH(S$6,0))))&gt;=$F11)*(DATE(YEAR(S$6),MONTH(S$6),MIN(DAY($F11),DAY(EOMONTH(S$6,0))))&gt;=S$5)*(DATE(YEAR(S$6),MONTH(S$6),MIN(DAY($F11),DAY(EOMONTH(S$6,0))))&lt;=S$6)*(MOD((YEAR(S$6)-YEAR($F11))*12+MONTH(S$6)-MONTH($F11),3)=0)),IF($D11="One-off",($F11&gt;=S$5)*($F11&lt;=S$6),0))))))</f>
        <v>0</v>
      </c>
      <c r="T11" s="19">
        <f>IF(OR($E11="",$F11="",$D11=""),0,IF(OR($C11="Loan and finance repayments",$C11="VAT and taxes",$C11="Capital expenditure",$C11="Licences and regulatory fees"),1,1+CostAdj)*$E11*IF($D11="Weekly",(MAX(0,INT((T$6-$F11)/7)+1)-MAX(0,INT((T$5-1-$F11)/7)+1)),IF($D11="Fortnightly",(MAX(0,INT((T$6-$F11)/14)+1)-MAX(0,INT((T$5-1-$F11)/14)+1)),IF($D11="Monthly",((DATE(YEAR(T$5),MONTH(T$5),MIN(DAY($F11),DAY(EOMONTH(T$5,0))))&gt;=MAX(T$5,$F11))*(DATE(YEAR(T$5),MONTH(T$5),MIN(DAY($F11),DAY(EOMONTH(T$5,0))))&lt;=T$6)*(MOD((YEAR(T$5)-YEAR($F11))*12+MONTH(T$5)-MONTH($F11),1)=0)+(MONTH(T$6)&lt;&gt;MONTH(T$5))*(DATE(YEAR(T$6),MONTH(T$6),MIN(DAY($F11),DAY(EOMONTH(T$6,0))))&gt;=$F11)*(DATE(YEAR(T$6),MONTH(T$6),MIN(DAY($F11),DAY(EOMONTH(T$6,0))))&gt;=T$5)*(DATE(YEAR(T$6),MONTH(T$6),MIN(DAY($F11),DAY(EOMONTH(T$6,0))))&lt;=T$6)*(MOD((YEAR(T$6)-YEAR($F11))*12+MONTH(T$6)-MONTH($F11),1)=0)),IF($D11="Quarterly",((DATE(YEAR(T$5),MONTH(T$5),MIN(DAY($F11),DAY(EOMONTH(T$5,0))))&gt;=MAX(T$5,$F11))*(DATE(YEAR(T$5),MONTH(T$5),MIN(DAY($F11),DAY(EOMONTH(T$5,0))))&lt;=T$6)*(MOD((YEAR(T$5)-YEAR($F11))*12+MONTH(T$5)-MONTH($F11),3)=0)+(MONTH(T$6)&lt;&gt;MONTH(T$5))*(DATE(YEAR(T$6),MONTH(T$6),MIN(DAY($F11),DAY(EOMONTH(T$6,0))))&gt;=$F11)*(DATE(YEAR(T$6),MONTH(T$6),MIN(DAY($F11),DAY(EOMONTH(T$6,0))))&gt;=T$5)*(DATE(YEAR(T$6),MONTH(T$6),MIN(DAY($F11),DAY(EOMONTH(T$6,0))))&lt;=T$6)*(MOD((YEAR(T$6)-YEAR($F11))*12+MONTH(T$6)-MONTH($F11),3)=0)),IF($D11="One-off",($F11&gt;=T$5)*($F11&lt;=T$6),0))))))</f>
        <v>0</v>
      </c>
      <c r="U11" s="36">
        <f>SUM(H11:T11)</f>
        <v>210000</v>
      </c>
    </row>
    <row r="12" spans="1:21">
      <c r="A12" s="42">
        <v>4</v>
      </c>
      <c r="B12" s="7" t="s">
        <v>132</v>
      </c>
      <c r="C12" s="7" t="s">
        <v>2</v>
      </c>
      <c r="D12" s="7" t="s">
        <v>15</v>
      </c>
      <c r="E12" s="18">
        <v>14500</v>
      </c>
      <c r="F12" s="17">
        <v>46300</v>
      </c>
      <c r="G12" s="7"/>
      <c r="H12" s="19">
        <f>IF(OR($E12="",$F12="",$D12=""),0,IF(OR($C12="Loan and finance repayments",$C12="VAT and taxes",$C12="Capital expenditure",$C12="Licences and regulatory fees"),1,1+CostAdj)*$E12*IF($D12="Weekly",(MAX(0,INT((H$6-$F12)/7)+1)-MAX(0,INT((H$5-1-$F12)/7)+1)),IF($D12="Fortnightly",(MAX(0,INT((H$6-$F12)/14)+1)-MAX(0,INT((H$5-1-$F12)/14)+1)),IF($D12="Monthly",((DATE(YEAR(H$5),MONTH(H$5),MIN(DAY($F12),DAY(EOMONTH(H$5,0))))&gt;=MAX(H$5,$F12))*(DATE(YEAR(H$5),MONTH(H$5),MIN(DAY($F12),DAY(EOMONTH(H$5,0))))&lt;=H$6)*(MOD((YEAR(H$5)-YEAR($F12))*12+MONTH(H$5)-MONTH($F12),1)=0)+(MONTH(H$6)&lt;&gt;MONTH(H$5))*(DATE(YEAR(H$6),MONTH(H$6),MIN(DAY($F12),DAY(EOMONTH(H$6,0))))&gt;=$F12)*(DATE(YEAR(H$6),MONTH(H$6),MIN(DAY($F12),DAY(EOMONTH(H$6,0))))&gt;=H$5)*(DATE(YEAR(H$6),MONTH(H$6),MIN(DAY($F12),DAY(EOMONTH(H$6,0))))&lt;=H$6)*(MOD((YEAR(H$6)-YEAR($F12))*12+MONTH(H$6)-MONTH($F12),1)=0)),IF($D12="Quarterly",((DATE(YEAR(H$5),MONTH(H$5),MIN(DAY($F12),DAY(EOMONTH(H$5,0))))&gt;=MAX(H$5,$F12))*(DATE(YEAR(H$5),MONTH(H$5),MIN(DAY($F12),DAY(EOMONTH(H$5,0))))&lt;=H$6)*(MOD((YEAR(H$5)-YEAR($F12))*12+MONTH(H$5)-MONTH($F12),3)=0)+(MONTH(H$6)&lt;&gt;MONTH(H$5))*(DATE(YEAR(H$6),MONTH(H$6),MIN(DAY($F12),DAY(EOMONTH(H$6,0))))&gt;=$F12)*(DATE(YEAR(H$6),MONTH(H$6),MIN(DAY($F12),DAY(EOMONTH(H$6,0))))&gt;=H$5)*(DATE(YEAR(H$6),MONTH(H$6),MIN(DAY($F12),DAY(EOMONTH(H$6,0))))&lt;=H$6)*(MOD((YEAR(H$6)-YEAR($F12))*12+MONTH(H$6)-MONTH($F12),3)=0)),IF($D12="One-off",($F12&gt;=H$5)*($F12&lt;=H$6),0))))))</f>
        <v>14500</v>
      </c>
      <c r="I12" s="19">
        <f>IF(OR($E12="",$F12="",$D12=""),0,IF(OR($C12="Loan and finance repayments",$C12="VAT and taxes",$C12="Capital expenditure",$C12="Licences and regulatory fees"),1,1+CostAdj)*$E12*IF($D12="Weekly",(MAX(0,INT((I$6-$F12)/7)+1)-MAX(0,INT((I$5-1-$F12)/7)+1)),IF($D12="Fortnightly",(MAX(0,INT((I$6-$F12)/14)+1)-MAX(0,INT((I$5-1-$F12)/14)+1)),IF($D12="Monthly",((DATE(YEAR(I$5),MONTH(I$5),MIN(DAY($F12),DAY(EOMONTH(I$5,0))))&gt;=MAX(I$5,$F12))*(DATE(YEAR(I$5),MONTH(I$5),MIN(DAY($F12),DAY(EOMONTH(I$5,0))))&lt;=I$6)*(MOD((YEAR(I$5)-YEAR($F12))*12+MONTH(I$5)-MONTH($F12),1)=0)+(MONTH(I$6)&lt;&gt;MONTH(I$5))*(DATE(YEAR(I$6),MONTH(I$6),MIN(DAY($F12),DAY(EOMONTH(I$6,0))))&gt;=$F12)*(DATE(YEAR(I$6),MONTH(I$6),MIN(DAY($F12),DAY(EOMONTH(I$6,0))))&gt;=I$5)*(DATE(YEAR(I$6),MONTH(I$6),MIN(DAY($F12),DAY(EOMONTH(I$6,0))))&lt;=I$6)*(MOD((YEAR(I$6)-YEAR($F12))*12+MONTH(I$6)-MONTH($F12),1)=0)),IF($D12="Quarterly",((DATE(YEAR(I$5),MONTH(I$5),MIN(DAY($F12),DAY(EOMONTH(I$5,0))))&gt;=MAX(I$5,$F12))*(DATE(YEAR(I$5),MONTH(I$5),MIN(DAY($F12),DAY(EOMONTH(I$5,0))))&lt;=I$6)*(MOD((YEAR(I$5)-YEAR($F12))*12+MONTH(I$5)-MONTH($F12),3)=0)+(MONTH(I$6)&lt;&gt;MONTH(I$5))*(DATE(YEAR(I$6),MONTH(I$6),MIN(DAY($F12),DAY(EOMONTH(I$6,0))))&gt;=$F12)*(DATE(YEAR(I$6),MONTH(I$6),MIN(DAY($F12),DAY(EOMONTH(I$6,0))))&gt;=I$5)*(DATE(YEAR(I$6),MONTH(I$6),MIN(DAY($F12),DAY(EOMONTH(I$6,0))))&lt;=I$6)*(MOD((YEAR(I$6)-YEAR($F12))*12+MONTH(I$6)-MONTH($F12),3)=0)),IF($D12="One-off",($F12&gt;=I$5)*($F12&lt;=I$6),0))))))</f>
        <v>0</v>
      </c>
      <c r="J12" s="19">
        <f>IF(OR($E12="",$F12="",$D12=""),0,IF(OR($C12="Loan and finance repayments",$C12="VAT and taxes",$C12="Capital expenditure",$C12="Licences and regulatory fees"),1,1+CostAdj)*$E12*IF($D12="Weekly",(MAX(0,INT((J$6-$F12)/7)+1)-MAX(0,INT((J$5-1-$F12)/7)+1)),IF($D12="Fortnightly",(MAX(0,INT((J$6-$F12)/14)+1)-MAX(0,INT((J$5-1-$F12)/14)+1)),IF($D12="Monthly",((DATE(YEAR(J$5),MONTH(J$5),MIN(DAY($F12),DAY(EOMONTH(J$5,0))))&gt;=MAX(J$5,$F12))*(DATE(YEAR(J$5),MONTH(J$5),MIN(DAY($F12),DAY(EOMONTH(J$5,0))))&lt;=J$6)*(MOD((YEAR(J$5)-YEAR($F12))*12+MONTH(J$5)-MONTH($F12),1)=0)+(MONTH(J$6)&lt;&gt;MONTH(J$5))*(DATE(YEAR(J$6),MONTH(J$6),MIN(DAY($F12),DAY(EOMONTH(J$6,0))))&gt;=$F12)*(DATE(YEAR(J$6),MONTH(J$6),MIN(DAY($F12),DAY(EOMONTH(J$6,0))))&gt;=J$5)*(DATE(YEAR(J$6),MONTH(J$6),MIN(DAY($F12),DAY(EOMONTH(J$6,0))))&lt;=J$6)*(MOD((YEAR(J$6)-YEAR($F12))*12+MONTH(J$6)-MONTH($F12),1)=0)),IF($D12="Quarterly",((DATE(YEAR(J$5),MONTH(J$5),MIN(DAY($F12),DAY(EOMONTH(J$5,0))))&gt;=MAX(J$5,$F12))*(DATE(YEAR(J$5),MONTH(J$5),MIN(DAY($F12),DAY(EOMONTH(J$5,0))))&lt;=J$6)*(MOD((YEAR(J$5)-YEAR($F12))*12+MONTH(J$5)-MONTH($F12),3)=0)+(MONTH(J$6)&lt;&gt;MONTH(J$5))*(DATE(YEAR(J$6),MONTH(J$6),MIN(DAY($F12),DAY(EOMONTH(J$6,0))))&gt;=$F12)*(DATE(YEAR(J$6),MONTH(J$6),MIN(DAY($F12),DAY(EOMONTH(J$6,0))))&gt;=J$5)*(DATE(YEAR(J$6),MONTH(J$6),MIN(DAY($F12),DAY(EOMONTH(J$6,0))))&lt;=J$6)*(MOD((YEAR(J$6)-YEAR($F12))*12+MONTH(J$6)-MONTH($F12),3)=0)),IF($D12="One-off",($F12&gt;=J$5)*($F12&lt;=J$6),0))))))</f>
        <v>0</v>
      </c>
      <c r="K12" s="19">
        <f>IF(OR($E12="",$F12="",$D12=""),0,IF(OR($C12="Loan and finance repayments",$C12="VAT and taxes",$C12="Capital expenditure",$C12="Licences and regulatory fees"),1,1+CostAdj)*$E12*IF($D12="Weekly",(MAX(0,INT((K$6-$F12)/7)+1)-MAX(0,INT((K$5-1-$F12)/7)+1)),IF($D12="Fortnightly",(MAX(0,INT((K$6-$F12)/14)+1)-MAX(0,INT((K$5-1-$F12)/14)+1)),IF($D12="Monthly",((DATE(YEAR(K$5),MONTH(K$5),MIN(DAY($F12),DAY(EOMONTH(K$5,0))))&gt;=MAX(K$5,$F12))*(DATE(YEAR(K$5),MONTH(K$5),MIN(DAY($F12),DAY(EOMONTH(K$5,0))))&lt;=K$6)*(MOD((YEAR(K$5)-YEAR($F12))*12+MONTH(K$5)-MONTH($F12),1)=0)+(MONTH(K$6)&lt;&gt;MONTH(K$5))*(DATE(YEAR(K$6),MONTH(K$6),MIN(DAY($F12),DAY(EOMONTH(K$6,0))))&gt;=$F12)*(DATE(YEAR(K$6),MONTH(K$6),MIN(DAY($F12),DAY(EOMONTH(K$6,0))))&gt;=K$5)*(DATE(YEAR(K$6),MONTH(K$6),MIN(DAY($F12),DAY(EOMONTH(K$6,0))))&lt;=K$6)*(MOD((YEAR(K$6)-YEAR($F12))*12+MONTH(K$6)-MONTH($F12),1)=0)),IF($D12="Quarterly",((DATE(YEAR(K$5),MONTH(K$5),MIN(DAY($F12),DAY(EOMONTH(K$5,0))))&gt;=MAX(K$5,$F12))*(DATE(YEAR(K$5),MONTH(K$5),MIN(DAY($F12),DAY(EOMONTH(K$5,0))))&lt;=K$6)*(MOD((YEAR(K$5)-YEAR($F12))*12+MONTH(K$5)-MONTH($F12),3)=0)+(MONTH(K$6)&lt;&gt;MONTH(K$5))*(DATE(YEAR(K$6),MONTH(K$6),MIN(DAY($F12),DAY(EOMONTH(K$6,0))))&gt;=$F12)*(DATE(YEAR(K$6),MONTH(K$6),MIN(DAY($F12),DAY(EOMONTH(K$6,0))))&gt;=K$5)*(DATE(YEAR(K$6),MONTH(K$6),MIN(DAY($F12),DAY(EOMONTH(K$6,0))))&lt;=K$6)*(MOD((YEAR(K$6)-YEAR($F12))*12+MONTH(K$6)-MONTH($F12),3)=0)),IF($D12="One-off",($F12&gt;=K$5)*($F12&lt;=K$6),0))))))</f>
        <v>0</v>
      </c>
      <c r="L12" s="19">
        <f>IF(OR($E12="",$F12="",$D12=""),0,IF(OR($C12="Loan and finance repayments",$C12="VAT and taxes",$C12="Capital expenditure",$C12="Licences and regulatory fees"),1,1+CostAdj)*$E12*IF($D12="Weekly",(MAX(0,INT((L$6-$F12)/7)+1)-MAX(0,INT((L$5-1-$F12)/7)+1)),IF($D12="Fortnightly",(MAX(0,INT((L$6-$F12)/14)+1)-MAX(0,INT((L$5-1-$F12)/14)+1)),IF($D12="Monthly",((DATE(YEAR(L$5),MONTH(L$5),MIN(DAY($F12),DAY(EOMONTH(L$5,0))))&gt;=MAX(L$5,$F12))*(DATE(YEAR(L$5),MONTH(L$5),MIN(DAY($F12),DAY(EOMONTH(L$5,0))))&lt;=L$6)*(MOD((YEAR(L$5)-YEAR($F12))*12+MONTH(L$5)-MONTH($F12),1)=0)+(MONTH(L$6)&lt;&gt;MONTH(L$5))*(DATE(YEAR(L$6),MONTH(L$6),MIN(DAY($F12),DAY(EOMONTH(L$6,0))))&gt;=$F12)*(DATE(YEAR(L$6),MONTH(L$6),MIN(DAY($F12),DAY(EOMONTH(L$6,0))))&gt;=L$5)*(DATE(YEAR(L$6),MONTH(L$6),MIN(DAY($F12),DAY(EOMONTH(L$6,0))))&lt;=L$6)*(MOD((YEAR(L$6)-YEAR($F12))*12+MONTH(L$6)-MONTH($F12),1)=0)),IF($D12="Quarterly",((DATE(YEAR(L$5),MONTH(L$5),MIN(DAY($F12),DAY(EOMONTH(L$5,0))))&gt;=MAX(L$5,$F12))*(DATE(YEAR(L$5),MONTH(L$5),MIN(DAY($F12),DAY(EOMONTH(L$5,0))))&lt;=L$6)*(MOD((YEAR(L$5)-YEAR($F12))*12+MONTH(L$5)-MONTH($F12),3)=0)+(MONTH(L$6)&lt;&gt;MONTH(L$5))*(DATE(YEAR(L$6),MONTH(L$6),MIN(DAY($F12),DAY(EOMONTH(L$6,0))))&gt;=$F12)*(DATE(YEAR(L$6),MONTH(L$6),MIN(DAY($F12),DAY(EOMONTH(L$6,0))))&gt;=L$5)*(DATE(YEAR(L$6),MONTH(L$6),MIN(DAY($F12),DAY(EOMONTH(L$6,0))))&lt;=L$6)*(MOD((YEAR(L$6)-YEAR($F12))*12+MONTH(L$6)-MONTH($F12),3)=0)),IF($D12="One-off",($F12&gt;=L$5)*($F12&lt;=L$6),0))))))</f>
        <v>14500</v>
      </c>
      <c r="M12" s="19">
        <f>IF(OR($E12="",$F12="",$D12=""),0,IF(OR($C12="Loan and finance repayments",$C12="VAT and taxes",$C12="Capital expenditure",$C12="Licences and regulatory fees"),1,1+CostAdj)*$E12*IF($D12="Weekly",(MAX(0,INT((M$6-$F12)/7)+1)-MAX(0,INT((M$5-1-$F12)/7)+1)),IF($D12="Fortnightly",(MAX(0,INT((M$6-$F12)/14)+1)-MAX(0,INT((M$5-1-$F12)/14)+1)),IF($D12="Monthly",((DATE(YEAR(M$5),MONTH(M$5),MIN(DAY($F12),DAY(EOMONTH(M$5,0))))&gt;=MAX(M$5,$F12))*(DATE(YEAR(M$5),MONTH(M$5),MIN(DAY($F12),DAY(EOMONTH(M$5,0))))&lt;=M$6)*(MOD((YEAR(M$5)-YEAR($F12))*12+MONTH(M$5)-MONTH($F12),1)=0)+(MONTH(M$6)&lt;&gt;MONTH(M$5))*(DATE(YEAR(M$6),MONTH(M$6),MIN(DAY($F12),DAY(EOMONTH(M$6,0))))&gt;=$F12)*(DATE(YEAR(M$6),MONTH(M$6),MIN(DAY($F12),DAY(EOMONTH(M$6,0))))&gt;=M$5)*(DATE(YEAR(M$6),MONTH(M$6),MIN(DAY($F12),DAY(EOMONTH(M$6,0))))&lt;=M$6)*(MOD((YEAR(M$6)-YEAR($F12))*12+MONTH(M$6)-MONTH($F12),1)=0)),IF($D12="Quarterly",((DATE(YEAR(M$5),MONTH(M$5),MIN(DAY($F12),DAY(EOMONTH(M$5,0))))&gt;=MAX(M$5,$F12))*(DATE(YEAR(M$5),MONTH(M$5),MIN(DAY($F12),DAY(EOMONTH(M$5,0))))&lt;=M$6)*(MOD((YEAR(M$5)-YEAR($F12))*12+MONTH(M$5)-MONTH($F12),3)=0)+(MONTH(M$6)&lt;&gt;MONTH(M$5))*(DATE(YEAR(M$6),MONTH(M$6),MIN(DAY($F12),DAY(EOMONTH(M$6,0))))&gt;=$F12)*(DATE(YEAR(M$6),MONTH(M$6),MIN(DAY($F12),DAY(EOMONTH(M$6,0))))&gt;=M$5)*(DATE(YEAR(M$6),MONTH(M$6),MIN(DAY($F12),DAY(EOMONTH(M$6,0))))&lt;=M$6)*(MOD((YEAR(M$6)-YEAR($F12))*12+MONTH(M$6)-MONTH($F12),3)=0)),IF($D12="One-off",($F12&gt;=M$5)*($F12&lt;=M$6),0))))))</f>
        <v>0</v>
      </c>
      <c r="N12" s="19">
        <f>IF(OR($E12="",$F12="",$D12=""),0,IF(OR($C12="Loan and finance repayments",$C12="VAT and taxes",$C12="Capital expenditure",$C12="Licences and regulatory fees"),1,1+CostAdj)*$E12*IF($D12="Weekly",(MAX(0,INT((N$6-$F12)/7)+1)-MAX(0,INT((N$5-1-$F12)/7)+1)),IF($D12="Fortnightly",(MAX(0,INT((N$6-$F12)/14)+1)-MAX(0,INT((N$5-1-$F12)/14)+1)),IF($D12="Monthly",((DATE(YEAR(N$5),MONTH(N$5),MIN(DAY($F12),DAY(EOMONTH(N$5,0))))&gt;=MAX(N$5,$F12))*(DATE(YEAR(N$5),MONTH(N$5),MIN(DAY($F12),DAY(EOMONTH(N$5,0))))&lt;=N$6)*(MOD((YEAR(N$5)-YEAR($F12))*12+MONTH(N$5)-MONTH($F12),1)=0)+(MONTH(N$6)&lt;&gt;MONTH(N$5))*(DATE(YEAR(N$6),MONTH(N$6),MIN(DAY($F12),DAY(EOMONTH(N$6,0))))&gt;=$F12)*(DATE(YEAR(N$6),MONTH(N$6),MIN(DAY($F12),DAY(EOMONTH(N$6,0))))&gt;=N$5)*(DATE(YEAR(N$6),MONTH(N$6),MIN(DAY($F12),DAY(EOMONTH(N$6,0))))&lt;=N$6)*(MOD((YEAR(N$6)-YEAR($F12))*12+MONTH(N$6)-MONTH($F12),1)=0)),IF($D12="Quarterly",((DATE(YEAR(N$5),MONTH(N$5),MIN(DAY($F12),DAY(EOMONTH(N$5,0))))&gt;=MAX(N$5,$F12))*(DATE(YEAR(N$5),MONTH(N$5),MIN(DAY($F12),DAY(EOMONTH(N$5,0))))&lt;=N$6)*(MOD((YEAR(N$5)-YEAR($F12))*12+MONTH(N$5)-MONTH($F12),3)=0)+(MONTH(N$6)&lt;&gt;MONTH(N$5))*(DATE(YEAR(N$6),MONTH(N$6),MIN(DAY($F12),DAY(EOMONTH(N$6,0))))&gt;=$F12)*(DATE(YEAR(N$6),MONTH(N$6),MIN(DAY($F12),DAY(EOMONTH(N$6,0))))&gt;=N$5)*(DATE(YEAR(N$6),MONTH(N$6),MIN(DAY($F12),DAY(EOMONTH(N$6,0))))&lt;=N$6)*(MOD((YEAR(N$6)-YEAR($F12))*12+MONTH(N$6)-MONTH($F12),3)=0)),IF($D12="One-off",($F12&gt;=N$5)*($F12&lt;=N$6),0))))))</f>
        <v>0</v>
      </c>
      <c r="O12" s="19">
        <f>IF(OR($E12="",$F12="",$D12=""),0,IF(OR($C12="Loan and finance repayments",$C12="VAT and taxes",$C12="Capital expenditure",$C12="Licences and regulatory fees"),1,1+CostAdj)*$E12*IF($D12="Weekly",(MAX(0,INT((O$6-$F12)/7)+1)-MAX(0,INT((O$5-1-$F12)/7)+1)),IF($D12="Fortnightly",(MAX(0,INT((O$6-$F12)/14)+1)-MAX(0,INT((O$5-1-$F12)/14)+1)),IF($D12="Monthly",((DATE(YEAR(O$5),MONTH(O$5),MIN(DAY($F12),DAY(EOMONTH(O$5,0))))&gt;=MAX(O$5,$F12))*(DATE(YEAR(O$5),MONTH(O$5),MIN(DAY($F12),DAY(EOMONTH(O$5,0))))&lt;=O$6)*(MOD((YEAR(O$5)-YEAR($F12))*12+MONTH(O$5)-MONTH($F12),1)=0)+(MONTH(O$6)&lt;&gt;MONTH(O$5))*(DATE(YEAR(O$6),MONTH(O$6),MIN(DAY($F12),DAY(EOMONTH(O$6,0))))&gt;=$F12)*(DATE(YEAR(O$6),MONTH(O$6),MIN(DAY($F12),DAY(EOMONTH(O$6,0))))&gt;=O$5)*(DATE(YEAR(O$6),MONTH(O$6),MIN(DAY($F12),DAY(EOMONTH(O$6,0))))&lt;=O$6)*(MOD((YEAR(O$6)-YEAR($F12))*12+MONTH(O$6)-MONTH($F12),1)=0)),IF($D12="Quarterly",((DATE(YEAR(O$5),MONTH(O$5),MIN(DAY($F12),DAY(EOMONTH(O$5,0))))&gt;=MAX(O$5,$F12))*(DATE(YEAR(O$5),MONTH(O$5),MIN(DAY($F12),DAY(EOMONTH(O$5,0))))&lt;=O$6)*(MOD((YEAR(O$5)-YEAR($F12))*12+MONTH(O$5)-MONTH($F12),3)=0)+(MONTH(O$6)&lt;&gt;MONTH(O$5))*(DATE(YEAR(O$6),MONTH(O$6),MIN(DAY($F12),DAY(EOMONTH(O$6,0))))&gt;=$F12)*(DATE(YEAR(O$6),MONTH(O$6),MIN(DAY($F12),DAY(EOMONTH(O$6,0))))&gt;=O$5)*(DATE(YEAR(O$6),MONTH(O$6),MIN(DAY($F12),DAY(EOMONTH(O$6,0))))&lt;=O$6)*(MOD((YEAR(O$6)-YEAR($F12))*12+MONTH(O$6)-MONTH($F12),3)=0)),IF($D12="One-off",($F12&gt;=O$5)*($F12&lt;=O$6),0))))))</f>
        <v>0</v>
      </c>
      <c r="P12" s="19">
        <f>IF(OR($E12="",$F12="",$D12=""),0,IF(OR($C12="Loan and finance repayments",$C12="VAT and taxes",$C12="Capital expenditure",$C12="Licences and regulatory fees"),1,1+CostAdj)*$E12*IF($D12="Weekly",(MAX(0,INT((P$6-$F12)/7)+1)-MAX(0,INT((P$5-1-$F12)/7)+1)),IF($D12="Fortnightly",(MAX(0,INT((P$6-$F12)/14)+1)-MAX(0,INT((P$5-1-$F12)/14)+1)),IF($D12="Monthly",((DATE(YEAR(P$5),MONTH(P$5),MIN(DAY($F12),DAY(EOMONTH(P$5,0))))&gt;=MAX(P$5,$F12))*(DATE(YEAR(P$5),MONTH(P$5),MIN(DAY($F12),DAY(EOMONTH(P$5,0))))&lt;=P$6)*(MOD((YEAR(P$5)-YEAR($F12))*12+MONTH(P$5)-MONTH($F12),1)=0)+(MONTH(P$6)&lt;&gt;MONTH(P$5))*(DATE(YEAR(P$6),MONTH(P$6),MIN(DAY($F12),DAY(EOMONTH(P$6,0))))&gt;=$F12)*(DATE(YEAR(P$6),MONTH(P$6),MIN(DAY($F12),DAY(EOMONTH(P$6,0))))&gt;=P$5)*(DATE(YEAR(P$6),MONTH(P$6),MIN(DAY($F12),DAY(EOMONTH(P$6,0))))&lt;=P$6)*(MOD((YEAR(P$6)-YEAR($F12))*12+MONTH(P$6)-MONTH($F12),1)=0)),IF($D12="Quarterly",((DATE(YEAR(P$5),MONTH(P$5),MIN(DAY($F12),DAY(EOMONTH(P$5,0))))&gt;=MAX(P$5,$F12))*(DATE(YEAR(P$5),MONTH(P$5),MIN(DAY($F12),DAY(EOMONTH(P$5,0))))&lt;=P$6)*(MOD((YEAR(P$5)-YEAR($F12))*12+MONTH(P$5)-MONTH($F12),3)=0)+(MONTH(P$6)&lt;&gt;MONTH(P$5))*(DATE(YEAR(P$6),MONTH(P$6),MIN(DAY($F12),DAY(EOMONTH(P$6,0))))&gt;=$F12)*(DATE(YEAR(P$6),MONTH(P$6),MIN(DAY($F12),DAY(EOMONTH(P$6,0))))&gt;=P$5)*(DATE(YEAR(P$6),MONTH(P$6),MIN(DAY($F12),DAY(EOMONTH(P$6,0))))&lt;=P$6)*(MOD((YEAR(P$6)-YEAR($F12))*12+MONTH(P$6)-MONTH($F12),3)=0)),IF($D12="One-off",($F12&gt;=P$5)*($F12&lt;=P$6),0))))))</f>
        <v>14500</v>
      </c>
      <c r="Q12" s="19">
        <f>IF(OR($E12="",$F12="",$D12=""),0,IF(OR($C12="Loan and finance repayments",$C12="VAT and taxes",$C12="Capital expenditure",$C12="Licences and regulatory fees"),1,1+CostAdj)*$E12*IF($D12="Weekly",(MAX(0,INT((Q$6-$F12)/7)+1)-MAX(0,INT((Q$5-1-$F12)/7)+1)),IF($D12="Fortnightly",(MAX(0,INT((Q$6-$F12)/14)+1)-MAX(0,INT((Q$5-1-$F12)/14)+1)),IF($D12="Monthly",((DATE(YEAR(Q$5),MONTH(Q$5),MIN(DAY($F12),DAY(EOMONTH(Q$5,0))))&gt;=MAX(Q$5,$F12))*(DATE(YEAR(Q$5),MONTH(Q$5),MIN(DAY($F12),DAY(EOMONTH(Q$5,0))))&lt;=Q$6)*(MOD((YEAR(Q$5)-YEAR($F12))*12+MONTH(Q$5)-MONTH($F12),1)=0)+(MONTH(Q$6)&lt;&gt;MONTH(Q$5))*(DATE(YEAR(Q$6),MONTH(Q$6),MIN(DAY($F12),DAY(EOMONTH(Q$6,0))))&gt;=$F12)*(DATE(YEAR(Q$6),MONTH(Q$6),MIN(DAY($F12),DAY(EOMONTH(Q$6,0))))&gt;=Q$5)*(DATE(YEAR(Q$6),MONTH(Q$6),MIN(DAY($F12),DAY(EOMONTH(Q$6,0))))&lt;=Q$6)*(MOD((YEAR(Q$6)-YEAR($F12))*12+MONTH(Q$6)-MONTH($F12),1)=0)),IF($D12="Quarterly",((DATE(YEAR(Q$5),MONTH(Q$5),MIN(DAY($F12),DAY(EOMONTH(Q$5,0))))&gt;=MAX(Q$5,$F12))*(DATE(YEAR(Q$5),MONTH(Q$5),MIN(DAY($F12),DAY(EOMONTH(Q$5,0))))&lt;=Q$6)*(MOD((YEAR(Q$5)-YEAR($F12))*12+MONTH(Q$5)-MONTH($F12),3)=0)+(MONTH(Q$6)&lt;&gt;MONTH(Q$5))*(DATE(YEAR(Q$6),MONTH(Q$6),MIN(DAY($F12),DAY(EOMONTH(Q$6,0))))&gt;=$F12)*(DATE(YEAR(Q$6),MONTH(Q$6),MIN(DAY($F12),DAY(EOMONTH(Q$6,0))))&gt;=Q$5)*(DATE(YEAR(Q$6),MONTH(Q$6),MIN(DAY($F12),DAY(EOMONTH(Q$6,0))))&lt;=Q$6)*(MOD((YEAR(Q$6)-YEAR($F12))*12+MONTH(Q$6)-MONTH($F12),3)=0)),IF($D12="One-off",($F12&gt;=Q$5)*($F12&lt;=Q$6),0))))))</f>
        <v>0</v>
      </c>
      <c r="R12" s="19">
        <f>IF(OR($E12="",$F12="",$D12=""),0,IF(OR($C12="Loan and finance repayments",$C12="VAT and taxes",$C12="Capital expenditure",$C12="Licences and regulatory fees"),1,1+CostAdj)*$E12*IF($D12="Weekly",(MAX(0,INT((R$6-$F12)/7)+1)-MAX(0,INT((R$5-1-$F12)/7)+1)),IF($D12="Fortnightly",(MAX(0,INT((R$6-$F12)/14)+1)-MAX(0,INT((R$5-1-$F12)/14)+1)),IF($D12="Monthly",((DATE(YEAR(R$5),MONTH(R$5),MIN(DAY($F12),DAY(EOMONTH(R$5,0))))&gt;=MAX(R$5,$F12))*(DATE(YEAR(R$5),MONTH(R$5),MIN(DAY($F12),DAY(EOMONTH(R$5,0))))&lt;=R$6)*(MOD((YEAR(R$5)-YEAR($F12))*12+MONTH(R$5)-MONTH($F12),1)=0)+(MONTH(R$6)&lt;&gt;MONTH(R$5))*(DATE(YEAR(R$6),MONTH(R$6),MIN(DAY($F12),DAY(EOMONTH(R$6,0))))&gt;=$F12)*(DATE(YEAR(R$6),MONTH(R$6),MIN(DAY($F12),DAY(EOMONTH(R$6,0))))&gt;=R$5)*(DATE(YEAR(R$6),MONTH(R$6),MIN(DAY($F12),DAY(EOMONTH(R$6,0))))&lt;=R$6)*(MOD((YEAR(R$6)-YEAR($F12))*12+MONTH(R$6)-MONTH($F12),1)=0)),IF($D12="Quarterly",((DATE(YEAR(R$5),MONTH(R$5),MIN(DAY($F12),DAY(EOMONTH(R$5,0))))&gt;=MAX(R$5,$F12))*(DATE(YEAR(R$5),MONTH(R$5),MIN(DAY($F12),DAY(EOMONTH(R$5,0))))&lt;=R$6)*(MOD((YEAR(R$5)-YEAR($F12))*12+MONTH(R$5)-MONTH($F12),3)=0)+(MONTH(R$6)&lt;&gt;MONTH(R$5))*(DATE(YEAR(R$6),MONTH(R$6),MIN(DAY($F12),DAY(EOMONTH(R$6,0))))&gt;=$F12)*(DATE(YEAR(R$6),MONTH(R$6),MIN(DAY($F12),DAY(EOMONTH(R$6,0))))&gt;=R$5)*(DATE(YEAR(R$6),MONTH(R$6),MIN(DAY($F12),DAY(EOMONTH(R$6,0))))&lt;=R$6)*(MOD((YEAR(R$6)-YEAR($F12))*12+MONTH(R$6)-MONTH($F12),3)=0)),IF($D12="One-off",($F12&gt;=R$5)*($F12&lt;=R$6),0))))))</f>
        <v>0</v>
      </c>
      <c r="S12" s="19">
        <f>IF(OR($E12="",$F12="",$D12=""),0,IF(OR($C12="Loan and finance repayments",$C12="VAT and taxes",$C12="Capital expenditure",$C12="Licences and regulatory fees"),1,1+CostAdj)*$E12*IF($D12="Weekly",(MAX(0,INT((S$6-$F12)/7)+1)-MAX(0,INT((S$5-1-$F12)/7)+1)),IF($D12="Fortnightly",(MAX(0,INT((S$6-$F12)/14)+1)-MAX(0,INT((S$5-1-$F12)/14)+1)),IF($D12="Monthly",((DATE(YEAR(S$5),MONTH(S$5),MIN(DAY($F12),DAY(EOMONTH(S$5,0))))&gt;=MAX(S$5,$F12))*(DATE(YEAR(S$5),MONTH(S$5),MIN(DAY($F12),DAY(EOMONTH(S$5,0))))&lt;=S$6)*(MOD((YEAR(S$5)-YEAR($F12))*12+MONTH(S$5)-MONTH($F12),1)=0)+(MONTH(S$6)&lt;&gt;MONTH(S$5))*(DATE(YEAR(S$6),MONTH(S$6),MIN(DAY($F12),DAY(EOMONTH(S$6,0))))&gt;=$F12)*(DATE(YEAR(S$6),MONTH(S$6),MIN(DAY($F12),DAY(EOMONTH(S$6,0))))&gt;=S$5)*(DATE(YEAR(S$6),MONTH(S$6),MIN(DAY($F12),DAY(EOMONTH(S$6,0))))&lt;=S$6)*(MOD((YEAR(S$6)-YEAR($F12))*12+MONTH(S$6)-MONTH($F12),1)=0)),IF($D12="Quarterly",((DATE(YEAR(S$5),MONTH(S$5),MIN(DAY($F12),DAY(EOMONTH(S$5,0))))&gt;=MAX(S$5,$F12))*(DATE(YEAR(S$5),MONTH(S$5),MIN(DAY($F12),DAY(EOMONTH(S$5,0))))&lt;=S$6)*(MOD((YEAR(S$5)-YEAR($F12))*12+MONTH(S$5)-MONTH($F12),3)=0)+(MONTH(S$6)&lt;&gt;MONTH(S$5))*(DATE(YEAR(S$6),MONTH(S$6),MIN(DAY($F12),DAY(EOMONTH(S$6,0))))&gt;=$F12)*(DATE(YEAR(S$6),MONTH(S$6),MIN(DAY($F12),DAY(EOMONTH(S$6,0))))&gt;=S$5)*(DATE(YEAR(S$6),MONTH(S$6),MIN(DAY($F12),DAY(EOMONTH(S$6,0))))&lt;=S$6)*(MOD((YEAR(S$6)-YEAR($F12))*12+MONTH(S$6)-MONTH($F12),3)=0)),IF($D12="One-off",($F12&gt;=S$5)*($F12&lt;=S$6),0))))))</f>
        <v>0</v>
      </c>
      <c r="T12" s="19">
        <f>IF(OR($E12="",$F12="",$D12=""),0,IF(OR($C12="Loan and finance repayments",$C12="VAT and taxes",$C12="Capital expenditure",$C12="Licences and regulatory fees"),1,1+CostAdj)*$E12*IF($D12="Weekly",(MAX(0,INT((T$6-$F12)/7)+1)-MAX(0,INT((T$5-1-$F12)/7)+1)),IF($D12="Fortnightly",(MAX(0,INT((T$6-$F12)/14)+1)-MAX(0,INT((T$5-1-$F12)/14)+1)),IF($D12="Monthly",((DATE(YEAR(T$5),MONTH(T$5),MIN(DAY($F12),DAY(EOMONTH(T$5,0))))&gt;=MAX(T$5,$F12))*(DATE(YEAR(T$5),MONTH(T$5),MIN(DAY($F12),DAY(EOMONTH(T$5,0))))&lt;=T$6)*(MOD((YEAR(T$5)-YEAR($F12))*12+MONTH(T$5)-MONTH($F12),1)=0)+(MONTH(T$6)&lt;&gt;MONTH(T$5))*(DATE(YEAR(T$6),MONTH(T$6),MIN(DAY($F12),DAY(EOMONTH(T$6,0))))&gt;=$F12)*(DATE(YEAR(T$6),MONTH(T$6),MIN(DAY($F12),DAY(EOMONTH(T$6,0))))&gt;=T$5)*(DATE(YEAR(T$6),MONTH(T$6),MIN(DAY($F12),DAY(EOMONTH(T$6,0))))&lt;=T$6)*(MOD((YEAR(T$6)-YEAR($F12))*12+MONTH(T$6)-MONTH($F12),1)=0)),IF($D12="Quarterly",((DATE(YEAR(T$5),MONTH(T$5),MIN(DAY($F12),DAY(EOMONTH(T$5,0))))&gt;=MAX(T$5,$F12))*(DATE(YEAR(T$5),MONTH(T$5),MIN(DAY($F12),DAY(EOMONTH(T$5,0))))&lt;=T$6)*(MOD((YEAR(T$5)-YEAR($F12))*12+MONTH(T$5)-MONTH($F12),3)=0)+(MONTH(T$6)&lt;&gt;MONTH(T$5))*(DATE(YEAR(T$6),MONTH(T$6),MIN(DAY($F12),DAY(EOMONTH(T$6,0))))&gt;=$F12)*(DATE(YEAR(T$6),MONTH(T$6),MIN(DAY($F12),DAY(EOMONTH(T$6,0))))&gt;=T$5)*(DATE(YEAR(T$6),MONTH(T$6),MIN(DAY($F12),DAY(EOMONTH(T$6,0))))&lt;=T$6)*(MOD((YEAR(T$6)-YEAR($F12))*12+MONTH(T$6)-MONTH($F12),3)=0)),IF($D12="One-off",($F12&gt;=T$5)*($F12&lt;=T$6),0))))))</f>
        <v>0</v>
      </c>
      <c r="U12" s="36">
        <f>SUM(H12:T12)</f>
        <v>43500</v>
      </c>
    </row>
    <row r="13" spans="1:21">
      <c r="A13" s="42">
        <v>5</v>
      </c>
      <c r="B13" s="7" t="s">
        <v>133</v>
      </c>
      <c r="C13" s="7" t="s">
        <v>3</v>
      </c>
      <c r="D13" s="7" t="s">
        <v>15</v>
      </c>
      <c r="E13" s="18">
        <v>22000</v>
      </c>
      <c r="F13" s="17">
        <v>46310</v>
      </c>
      <c r="G13" s="7"/>
      <c r="H13" s="19">
        <f>IF(OR($E13="",$F13="",$D13=""),0,IF(OR($C13="Loan and finance repayments",$C13="VAT and taxes",$C13="Capital expenditure",$C13="Licences and regulatory fees"),1,1+CostAdj)*$E13*IF($D13="Weekly",(MAX(0,INT((H$6-$F13)/7)+1)-MAX(0,INT((H$5-1-$F13)/7)+1)),IF($D13="Fortnightly",(MAX(0,INT((H$6-$F13)/14)+1)-MAX(0,INT((H$5-1-$F13)/14)+1)),IF($D13="Monthly",((DATE(YEAR(H$5),MONTH(H$5),MIN(DAY($F13),DAY(EOMONTH(H$5,0))))&gt;=MAX(H$5,$F13))*(DATE(YEAR(H$5),MONTH(H$5),MIN(DAY($F13),DAY(EOMONTH(H$5,0))))&lt;=H$6)*(MOD((YEAR(H$5)-YEAR($F13))*12+MONTH(H$5)-MONTH($F13),1)=0)+(MONTH(H$6)&lt;&gt;MONTH(H$5))*(DATE(YEAR(H$6),MONTH(H$6),MIN(DAY($F13),DAY(EOMONTH(H$6,0))))&gt;=$F13)*(DATE(YEAR(H$6),MONTH(H$6),MIN(DAY($F13),DAY(EOMONTH(H$6,0))))&gt;=H$5)*(DATE(YEAR(H$6),MONTH(H$6),MIN(DAY($F13),DAY(EOMONTH(H$6,0))))&lt;=H$6)*(MOD((YEAR(H$6)-YEAR($F13))*12+MONTH(H$6)-MONTH($F13),1)=0)),IF($D13="Quarterly",((DATE(YEAR(H$5),MONTH(H$5),MIN(DAY($F13),DAY(EOMONTH(H$5,0))))&gt;=MAX(H$5,$F13))*(DATE(YEAR(H$5),MONTH(H$5),MIN(DAY($F13),DAY(EOMONTH(H$5,0))))&lt;=H$6)*(MOD((YEAR(H$5)-YEAR($F13))*12+MONTH(H$5)-MONTH($F13),3)=0)+(MONTH(H$6)&lt;&gt;MONTH(H$5))*(DATE(YEAR(H$6),MONTH(H$6),MIN(DAY($F13),DAY(EOMONTH(H$6,0))))&gt;=$F13)*(DATE(YEAR(H$6),MONTH(H$6),MIN(DAY($F13),DAY(EOMONTH(H$6,0))))&gt;=H$5)*(DATE(YEAR(H$6),MONTH(H$6),MIN(DAY($F13),DAY(EOMONTH(H$6,0))))&lt;=H$6)*(MOD((YEAR(H$6)-YEAR($F13))*12+MONTH(H$6)-MONTH($F13),3)=0)),IF($D13="One-off",($F13&gt;=H$5)*($F13&lt;=H$6),0))))))</f>
        <v>0</v>
      </c>
      <c r="I13" s="19">
        <f>IF(OR($E13="",$F13="",$D13=""),0,IF(OR($C13="Loan and finance repayments",$C13="VAT and taxes",$C13="Capital expenditure",$C13="Licences and regulatory fees"),1,1+CostAdj)*$E13*IF($D13="Weekly",(MAX(0,INT((I$6-$F13)/7)+1)-MAX(0,INT((I$5-1-$F13)/7)+1)),IF($D13="Fortnightly",(MAX(0,INT((I$6-$F13)/14)+1)-MAX(0,INT((I$5-1-$F13)/14)+1)),IF($D13="Monthly",((DATE(YEAR(I$5),MONTH(I$5),MIN(DAY($F13),DAY(EOMONTH(I$5,0))))&gt;=MAX(I$5,$F13))*(DATE(YEAR(I$5),MONTH(I$5),MIN(DAY($F13),DAY(EOMONTH(I$5,0))))&lt;=I$6)*(MOD((YEAR(I$5)-YEAR($F13))*12+MONTH(I$5)-MONTH($F13),1)=0)+(MONTH(I$6)&lt;&gt;MONTH(I$5))*(DATE(YEAR(I$6),MONTH(I$6),MIN(DAY($F13),DAY(EOMONTH(I$6,0))))&gt;=$F13)*(DATE(YEAR(I$6),MONTH(I$6),MIN(DAY($F13),DAY(EOMONTH(I$6,0))))&gt;=I$5)*(DATE(YEAR(I$6),MONTH(I$6),MIN(DAY($F13),DAY(EOMONTH(I$6,0))))&lt;=I$6)*(MOD((YEAR(I$6)-YEAR($F13))*12+MONTH(I$6)-MONTH($F13),1)=0)),IF($D13="Quarterly",((DATE(YEAR(I$5),MONTH(I$5),MIN(DAY($F13),DAY(EOMONTH(I$5,0))))&gt;=MAX(I$5,$F13))*(DATE(YEAR(I$5),MONTH(I$5),MIN(DAY($F13),DAY(EOMONTH(I$5,0))))&lt;=I$6)*(MOD((YEAR(I$5)-YEAR($F13))*12+MONTH(I$5)-MONTH($F13),3)=0)+(MONTH(I$6)&lt;&gt;MONTH(I$5))*(DATE(YEAR(I$6),MONTH(I$6),MIN(DAY($F13),DAY(EOMONTH(I$6,0))))&gt;=$F13)*(DATE(YEAR(I$6),MONTH(I$6),MIN(DAY($F13),DAY(EOMONTH(I$6,0))))&gt;=I$5)*(DATE(YEAR(I$6),MONTH(I$6),MIN(DAY($F13),DAY(EOMONTH(I$6,0))))&lt;=I$6)*(MOD((YEAR(I$6)-YEAR($F13))*12+MONTH(I$6)-MONTH($F13),3)=0)),IF($D13="One-off",($F13&gt;=I$5)*($F13&lt;=I$6),0))))))</f>
        <v>22000</v>
      </c>
      <c r="J13" s="19">
        <f>IF(OR($E13="",$F13="",$D13=""),0,IF(OR($C13="Loan and finance repayments",$C13="VAT and taxes",$C13="Capital expenditure",$C13="Licences and regulatory fees"),1,1+CostAdj)*$E13*IF($D13="Weekly",(MAX(0,INT((J$6-$F13)/7)+1)-MAX(0,INT((J$5-1-$F13)/7)+1)),IF($D13="Fortnightly",(MAX(0,INT((J$6-$F13)/14)+1)-MAX(0,INT((J$5-1-$F13)/14)+1)),IF($D13="Monthly",((DATE(YEAR(J$5),MONTH(J$5),MIN(DAY($F13),DAY(EOMONTH(J$5,0))))&gt;=MAX(J$5,$F13))*(DATE(YEAR(J$5),MONTH(J$5),MIN(DAY($F13),DAY(EOMONTH(J$5,0))))&lt;=J$6)*(MOD((YEAR(J$5)-YEAR($F13))*12+MONTH(J$5)-MONTH($F13),1)=0)+(MONTH(J$6)&lt;&gt;MONTH(J$5))*(DATE(YEAR(J$6),MONTH(J$6),MIN(DAY($F13),DAY(EOMONTH(J$6,0))))&gt;=$F13)*(DATE(YEAR(J$6),MONTH(J$6),MIN(DAY($F13),DAY(EOMONTH(J$6,0))))&gt;=J$5)*(DATE(YEAR(J$6),MONTH(J$6),MIN(DAY($F13),DAY(EOMONTH(J$6,0))))&lt;=J$6)*(MOD((YEAR(J$6)-YEAR($F13))*12+MONTH(J$6)-MONTH($F13),1)=0)),IF($D13="Quarterly",((DATE(YEAR(J$5),MONTH(J$5),MIN(DAY($F13),DAY(EOMONTH(J$5,0))))&gt;=MAX(J$5,$F13))*(DATE(YEAR(J$5),MONTH(J$5),MIN(DAY($F13),DAY(EOMONTH(J$5,0))))&lt;=J$6)*(MOD((YEAR(J$5)-YEAR($F13))*12+MONTH(J$5)-MONTH($F13),3)=0)+(MONTH(J$6)&lt;&gt;MONTH(J$5))*(DATE(YEAR(J$6),MONTH(J$6),MIN(DAY($F13),DAY(EOMONTH(J$6,0))))&gt;=$F13)*(DATE(YEAR(J$6),MONTH(J$6),MIN(DAY($F13),DAY(EOMONTH(J$6,0))))&gt;=J$5)*(DATE(YEAR(J$6),MONTH(J$6),MIN(DAY($F13),DAY(EOMONTH(J$6,0))))&lt;=J$6)*(MOD((YEAR(J$6)-YEAR($F13))*12+MONTH(J$6)-MONTH($F13),3)=0)),IF($D13="One-off",($F13&gt;=J$5)*($F13&lt;=J$6),0))))))</f>
        <v>0</v>
      </c>
      <c r="K13" s="19">
        <f>IF(OR($E13="",$F13="",$D13=""),0,IF(OR($C13="Loan and finance repayments",$C13="VAT and taxes",$C13="Capital expenditure",$C13="Licences and regulatory fees"),1,1+CostAdj)*$E13*IF($D13="Weekly",(MAX(0,INT((K$6-$F13)/7)+1)-MAX(0,INT((K$5-1-$F13)/7)+1)),IF($D13="Fortnightly",(MAX(0,INT((K$6-$F13)/14)+1)-MAX(0,INT((K$5-1-$F13)/14)+1)),IF($D13="Monthly",((DATE(YEAR(K$5),MONTH(K$5),MIN(DAY($F13),DAY(EOMONTH(K$5,0))))&gt;=MAX(K$5,$F13))*(DATE(YEAR(K$5),MONTH(K$5),MIN(DAY($F13),DAY(EOMONTH(K$5,0))))&lt;=K$6)*(MOD((YEAR(K$5)-YEAR($F13))*12+MONTH(K$5)-MONTH($F13),1)=0)+(MONTH(K$6)&lt;&gt;MONTH(K$5))*(DATE(YEAR(K$6),MONTH(K$6),MIN(DAY($F13),DAY(EOMONTH(K$6,0))))&gt;=$F13)*(DATE(YEAR(K$6),MONTH(K$6),MIN(DAY($F13),DAY(EOMONTH(K$6,0))))&gt;=K$5)*(DATE(YEAR(K$6),MONTH(K$6),MIN(DAY($F13),DAY(EOMONTH(K$6,0))))&lt;=K$6)*(MOD((YEAR(K$6)-YEAR($F13))*12+MONTH(K$6)-MONTH($F13),1)=0)),IF($D13="Quarterly",((DATE(YEAR(K$5),MONTH(K$5),MIN(DAY($F13),DAY(EOMONTH(K$5,0))))&gt;=MAX(K$5,$F13))*(DATE(YEAR(K$5),MONTH(K$5),MIN(DAY($F13),DAY(EOMONTH(K$5,0))))&lt;=K$6)*(MOD((YEAR(K$5)-YEAR($F13))*12+MONTH(K$5)-MONTH($F13),3)=0)+(MONTH(K$6)&lt;&gt;MONTH(K$5))*(DATE(YEAR(K$6),MONTH(K$6),MIN(DAY($F13),DAY(EOMONTH(K$6,0))))&gt;=$F13)*(DATE(YEAR(K$6),MONTH(K$6),MIN(DAY($F13),DAY(EOMONTH(K$6,0))))&gt;=K$5)*(DATE(YEAR(K$6),MONTH(K$6),MIN(DAY($F13),DAY(EOMONTH(K$6,0))))&lt;=K$6)*(MOD((YEAR(K$6)-YEAR($F13))*12+MONTH(K$6)-MONTH($F13),3)=0)),IF($D13="One-off",($F13&gt;=K$5)*($F13&lt;=K$6),0))))))</f>
        <v>0</v>
      </c>
      <c r="L13" s="19">
        <f>IF(OR($E13="",$F13="",$D13=""),0,IF(OR($C13="Loan and finance repayments",$C13="VAT and taxes",$C13="Capital expenditure",$C13="Licences and regulatory fees"),1,1+CostAdj)*$E13*IF($D13="Weekly",(MAX(0,INT((L$6-$F13)/7)+1)-MAX(0,INT((L$5-1-$F13)/7)+1)),IF($D13="Fortnightly",(MAX(0,INT((L$6-$F13)/14)+1)-MAX(0,INT((L$5-1-$F13)/14)+1)),IF($D13="Monthly",((DATE(YEAR(L$5),MONTH(L$5),MIN(DAY($F13),DAY(EOMONTH(L$5,0))))&gt;=MAX(L$5,$F13))*(DATE(YEAR(L$5),MONTH(L$5),MIN(DAY($F13),DAY(EOMONTH(L$5,0))))&lt;=L$6)*(MOD((YEAR(L$5)-YEAR($F13))*12+MONTH(L$5)-MONTH($F13),1)=0)+(MONTH(L$6)&lt;&gt;MONTH(L$5))*(DATE(YEAR(L$6),MONTH(L$6),MIN(DAY($F13),DAY(EOMONTH(L$6,0))))&gt;=$F13)*(DATE(YEAR(L$6),MONTH(L$6),MIN(DAY($F13),DAY(EOMONTH(L$6,0))))&gt;=L$5)*(DATE(YEAR(L$6),MONTH(L$6),MIN(DAY($F13),DAY(EOMONTH(L$6,0))))&lt;=L$6)*(MOD((YEAR(L$6)-YEAR($F13))*12+MONTH(L$6)-MONTH($F13),1)=0)),IF($D13="Quarterly",((DATE(YEAR(L$5),MONTH(L$5),MIN(DAY($F13),DAY(EOMONTH(L$5,0))))&gt;=MAX(L$5,$F13))*(DATE(YEAR(L$5),MONTH(L$5),MIN(DAY($F13),DAY(EOMONTH(L$5,0))))&lt;=L$6)*(MOD((YEAR(L$5)-YEAR($F13))*12+MONTH(L$5)-MONTH($F13),3)=0)+(MONTH(L$6)&lt;&gt;MONTH(L$5))*(DATE(YEAR(L$6),MONTH(L$6),MIN(DAY($F13),DAY(EOMONTH(L$6,0))))&gt;=$F13)*(DATE(YEAR(L$6),MONTH(L$6),MIN(DAY($F13),DAY(EOMONTH(L$6,0))))&gt;=L$5)*(DATE(YEAR(L$6),MONTH(L$6),MIN(DAY($F13),DAY(EOMONTH(L$6,0))))&lt;=L$6)*(MOD((YEAR(L$6)-YEAR($F13))*12+MONTH(L$6)-MONTH($F13),3)=0)),IF($D13="One-off",($F13&gt;=L$5)*($F13&lt;=L$6),0))))))</f>
        <v>0</v>
      </c>
      <c r="M13" s="19">
        <f>IF(OR($E13="",$F13="",$D13=""),0,IF(OR($C13="Loan and finance repayments",$C13="VAT and taxes",$C13="Capital expenditure",$C13="Licences and regulatory fees"),1,1+CostAdj)*$E13*IF($D13="Weekly",(MAX(0,INT((M$6-$F13)/7)+1)-MAX(0,INT((M$5-1-$F13)/7)+1)),IF($D13="Fortnightly",(MAX(0,INT((M$6-$F13)/14)+1)-MAX(0,INT((M$5-1-$F13)/14)+1)),IF($D13="Monthly",((DATE(YEAR(M$5),MONTH(M$5),MIN(DAY($F13),DAY(EOMONTH(M$5,0))))&gt;=MAX(M$5,$F13))*(DATE(YEAR(M$5),MONTH(M$5),MIN(DAY($F13),DAY(EOMONTH(M$5,0))))&lt;=M$6)*(MOD((YEAR(M$5)-YEAR($F13))*12+MONTH(M$5)-MONTH($F13),1)=0)+(MONTH(M$6)&lt;&gt;MONTH(M$5))*(DATE(YEAR(M$6),MONTH(M$6),MIN(DAY($F13),DAY(EOMONTH(M$6,0))))&gt;=$F13)*(DATE(YEAR(M$6),MONTH(M$6),MIN(DAY($F13),DAY(EOMONTH(M$6,0))))&gt;=M$5)*(DATE(YEAR(M$6),MONTH(M$6),MIN(DAY($F13),DAY(EOMONTH(M$6,0))))&lt;=M$6)*(MOD((YEAR(M$6)-YEAR($F13))*12+MONTH(M$6)-MONTH($F13),1)=0)),IF($D13="Quarterly",((DATE(YEAR(M$5),MONTH(M$5),MIN(DAY($F13),DAY(EOMONTH(M$5,0))))&gt;=MAX(M$5,$F13))*(DATE(YEAR(M$5),MONTH(M$5),MIN(DAY($F13),DAY(EOMONTH(M$5,0))))&lt;=M$6)*(MOD((YEAR(M$5)-YEAR($F13))*12+MONTH(M$5)-MONTH($F13),3)=0)+(MONTH(M$6)&lt;&gt;MONTH(M$5))*(DATE(YEAR(M$6),MONTH(M$6),MIN(DAY($F13),DAY(EOMONTH(M$6,0))))&gt;=$F13)*(DATE(YEAR(M$6),MONTH(M$6),MIN(DAY($F13),DAY(EOMONTH(M$6,0))))&gt;=M$5)*(DATE(YEAR(M$6),MONTH(M$6),MIN(DAY($F13),DAY(EOMONTH(M$6,0))))&lt;=M$6)*(MOD((YEAR(M$6)-YEAR($F13))*12+MONTH(M$6)-MONTH($F13),3)=0)),IF($D13="One-off",($F13&gt;=M$5)*($F13&lt;=M$6),0))))))</f>
        <v>22000</v>
      </c>
      <c r="N13" s="19">
        <f>IF(OR($E13="",$F13="",$D13=""),0,IF(OR($C13="Loan and finance repayments",$C13="VAT and taxes",$C13="Capital expenditure",$C13="Licences and regulatory fees"),1,1+CostAdj)*$E13*IF($D13="Weekly",(MAX(0,INT((N$6-$F13)/7)+1)-MAX(0,INT((N$5-1-$F13)/7)+1)),IF($D13="Fortnightly",(MAX(0,INT((N$6-$F13)/14)+1)-MAX(0,INT((N$5-1-$F13)/14)+1)),IF($D13="Monthly",((DATE(YEAR(N$5),MONTH(N$5),MIN(DAY($F13),DAY(EOMONTH(N$5,0))))&gt;=MAX(N$5,$F13))*(DATE(YEAR(N$5),MONTH(N$5),MIN(DAY($F13),DAY(EOMONTH(N$5,0))))&lt;=N$6)*(MOD((YEAR(N$5)-YEAR($F13))*12+MONTH(N$5)-MONTH($F13),1)=0)+(MONTH(N$6)&lt;&gt;MONTH(N$5))*(DATE(YEAR(N$6),MONTH(N$6),MIN(DAY($F13),DAY(EOMONTH(N$6,0))))&gt;=$F13)*(DATE(YEAR(N$6),MONTH(N$6),MIN(DAY($F13),DAY(EOMONTH(N$6,0))))&gt;=N$5)*(DATE(YEAR(N$6),MONTH(N$6),MIN(DAY($F13),DAY(EOMONTH(N$6,0))))&lt;=N$6)*(MOD((YEAR(N$6)-YEAR($F13))*12+MONTH(N$6)-MONTH($F13),1)=0)),IF($D13="Quarterly",((DATE(YEAR(N$5),MONTH(N$5),MIN(DAY($F13),DAY(EOMONTH(N$5,0))))&gt;=MAX(N$5,$F13))*(DATE(YEAR(N$5),MONTH(N$5),MIN(DAY($F13),DAY(EOMONTH(N$5,0))))&lt;=N$6)*(MOD((YEAR(N$5)-YEAR($F13))*12+MONTH(N$5)-MONTH($F13),3)=0)+(MONTH(N$6)&lt;&gt;MONTH(N$5))*(DATE(YEAR(N$6),MONTH(N$6),MIN(DAY($F13),DAY(EOMONTH(N$6,0))))&gt;=$F13)*(DATE(YEAR(N$6),MONTH(N$6),MIN(DAY($F13),DAY(EOMONTH(N$6,0))))&gt;=N$5)*(DATE(YEAR(N$6),MONTH(N$6),MIN(DAY($F13),DAY(EOMONTH(N$6,0))))&lt;=N$6)*(MOD((YEAR(N$6)-YEAR($F13))*12+MONTH(N$6)-MONTH($F13),3)=0)),IF($D13="One-off",($F13&gt;=N$5)*($F13&lt;=N$6),0))))))</f>
        <v>0</v>
      </c>
      <c r="O13" s="19">
        <f>IF(OR($E13="",$F13="",$D13=""),0,IF(OR($C13="Loan and finance repayments",$C13="VAT and taxes",$C13="Capital expenditure",$C13="Licences and regulatory fees"),1,1+CostAdj)*$E13*IF($D13="Weekly",(MAX(0,INT((O$6-$F13)/7)+1)-MAX(0,INT((O$5-1-$F13)/7)+1)),IF($D13="Fortnightly",(MAX(0,INT((O$6-$F13)/14)+1)-MAX(0,INT((O$5-1-$F13)/14)+1)),IF($D13="Monthly",((DATE(YEAR(O$5),MONTH(O$5),MIN(DAY($F13),DAY(EOMONTH(O$5,0))))&gt;=MAX(O$5,$F13))*(DATE(YEAR(O$5),MONTH(O$5),MIN(DAY($F13),DAY(EOMONTH(O$5,0))))&lt;=O$6)*(MOD((YEAR(O$5)-YEAR($F13))*12+MONTH(O$5)-MONTH($F13),1)=0)+(MONTH(O$6)&lt;&gt;MONTH(O$5))*(DATE(YEAR(O$6),MONTH(O$6),MIN(DAY($F13),DAY(EOMONTH(O$6,0))))&gt;=$F13)*(DATE(YEAR(O$6),MONTH(O$6),MIN(DAY($F13),DAY(EOMONTH(O$6,0))))&gt;=O$5)*(DATE(YEAR(O$6),MONTH(O$6),MIN(DAY($F13),DAY(EOMONTH(O$6,0))))&lt;=O$6)*(MOD((YEAR(O$6)-YEAR($F13))*12+MONTH(O$6)-MONTH($F13),1)=0)),IF($D13="Quarterly",((DATE(YEAR(O$5),MONTH(O$5),MIN(DAY($F13),DAY(EOMONTH(O$5,0))))&gt;=MAX(O$5,$F13))*(DATE(YEAR(O$5),MONTH(O$5),MIN(DAY($F13),DAY(EOMONTH(O$5,0))))&lt;=O$6)*(MOD((YEAR(O$5)-YEAR($F13))*12+MONTH(O$5)-MONTH($F13),3)=0)+(MONTH(O$6)&lt;&gt;MONTH(O$5))*(DATE(YEAR(O$6),MONTH(O$6),MIN(DAY($F13),DAY(EOMONTH(O$6,0))))&gt;=$F13)*(DATE(YEAR(O$6),MONTH(O$6),MIN(DAY($F13),DAY(EOMONTH(O$6,0))))&gt;=O$5)*(DATE(YEAR(O$6),MONTH(O$6),MIN(DAY($F13),DAY(EOMONTH(O$6,0))))&lt;=O$6)*(MOD((YEAR(O$6)-YEAR($F13))*12+MONTH(O$6)-MONTH($F13),3)=0)),IF($D13="One-off",($F13&gt;=O$5)*($F13&lt;=O$6),0))))))</f>
        <v>0</v>
      </c>
      <c r="P13" s="19">
        <f>IF(OR($E13="",$F13="",$D13=""),0,IF(OR($C13="Loan and finance repayments",$C13="VAT and taxes",$C13="Capital expenditure",$C13="Licences and regulatory fees"),1,1+CostAdj)*$E13*IF($D13="Weekly",(MAX(0,INT((P$6-$F13)/7)+1)-MAX(0,INT((P$5-1-$F13)/7)+1)),IF($D13="Fortnightly",(MAX(0,INT((P$6-$F13)/14)+1)-MAX(0,INT((P$5-1-$F13)/14)+1)),IF($D13="Monthly",((DATE(YEAR(P$5),MONTH(P$5),MIN(DAY($F13),DAY(EOMONTH(P$5,0))))&gt;=MAX(P$5,$F13))*(DATE(YEAR(P$5),MONTH(P$5),MIN(DAY($F13),DAY(EOMONTH(P$5,0))))&lt;=P$6)*(MOD((YEAR(P$5)-YEAR($F13))*12+MONTH(P$5)-MONTH($F13),1)=0)+(MONTH(P$6)&lt;&gt;MONTH(P$5))*(DATE(YEAR(P$6),MONTH(P$6),MIN(DAY($F13),DAY(EOMONTH(P$6,0))))&gt;=$F13)*(DATE(YEAR(P$6),MONTH(P$6),MIN(DAY($F13),DAY(EOMONTH(P$6,0))))&gt;=P$5)*(DATE(YEAR(P$6),MONTH(P$6),MIN(DAY($F13),DAY(EOMONTH(P$6,0))))&lt;=P$6)*(MOD((YEAR(P$6)-YEAR($F13))*12+MONTH(P$6)-MONTH($F13),1)=0)),IF($D13="Quarterly",((DATE(YEAR(P$5),MONTH(P$5),MIN(DAY($F13),DAY(EOMONTH(P$5,0))))&gt;=MAX(P$5,$F13))*(DATE(YEAR(P$5),MONTH(P$5),MIN(DAY($F13),DAY(EOMONTH(P$5,0))))&lt;=P$6)*(MOD((YEAR(P$5)-YEAR($F13))*12+MONTH(P$5)-MONTH($F13),3)=0)+(MONTH(P$6)&lt;&gt;MONTH(P$5))*(DATE(YEAR(P$6),MONTH(P$6),MIN(DAY($F13),DAY(EOMONTH(P$6,0))))&gt;=$F13)*(DATE(YEAR(P$6),MONTH(P$6),MIN(DAY($F13),DAY(EOMONTH(P$6,0))))&gt;=P$5)*(DATE(YEAR(P$6),MONTH(P$6),MIN(DAY($F13),DAY(EOMONTH(P$6,0))))&lt;=P$6)*(MOD((YEAR(P$6)-YEAR($F13))*12+MONTH(P$6)-MONTH($F13),3)=0)),IF($D13="One-off",($F13&gt;=P$5)*($F13&lt;=P$6),0))))))</f>
        <v>0</v>
      </c>
      <c r="Q13" s="19">
        <f>IF(OR($E13="",$F13="",$D13=""),0,IF(OR($C13="Loan and finance repayments",$C13="VAT and taxes",$C13="Capital expenditure",$C13="Licences and regulatory fees"),1,1+CostAdj)*$E13*IF($D13="Weekly",(MAX(0,INT((Q$6-$F13)/7)+1)-MAX(0,INT((Q$5-1-$F13)/7)+1)),IF($D13="Fortnightly",(MAX(0,INT((Q$6-$F13)/14)+1)-MAX(0,INT((Q$5-1-$F13)/14)+1)),IF($D13="Monthly",((DATE(YEAR(Q$5),MONTH(Q$5),MIN(DAY($F13),DAY(EOMONTH(Q$5,0))))&gt;=MAX(Q$5,$F13))*(DATE(YEAR(Q$5),MONTH(Q$5),MIN(DAY($F13),DAY(EOMONTH(Q$5,0))))&lt;=Q$6)*(MOD((YEAR(Q$5)-YEAR($F13))*12+MONTH(Q$5)-MONTH($F13),1)=0)+(MONTH(Q$6)&lt;&gt;MONTH(Q$5))*(DATE(YEAR(Q$6),MONTH(Q$6),MIN(DAY($F13),DAY(EOMONTH(Q$6,0))))&gt;=$F13)*(DATE(YEAR(Q$6),MONTH(Q$6),MIN(DAY($F13),DAY(EOMONTH(Q$6,0))))&gt;=Q$5)*(DATE(YEAR(Q$6),MONTH(Q$6),MIN(DAY($F13),DAY(EOMONTH(Q$6,0))))&lt;=Q$6)*(MOD((YEAR(Q$6)-YEAR($F13))*12+MONTH(Q$6)-MONTH($F13),1)=0)),IF($D13="Quarterly",((DATE(YEAR(Q$5),MONTH(Q$5),MIN(DAY($F13),DAY(EOMONTH(Q$5,0))))&gt;=MAX(Q$5,$F13))*(DATE(YEAR(Q$5),MONTH(Q$5),MIN(DAY($F13),DAY(EOMONTH(Q$5,0))))&lt;=Q$6)*(MOD((YEAR(Q$5)-YEAR($F13))*12+MONTH(Q$5)-MONTH($F13),3)=0)+(MONTH(Q$6)&lt;&gt;MONTH(Q$5))*(DATE(YEAR(Q$6),MONTH(Q$6),MIN(DAY($F13),DAY(EOMONTH(Q$6,0))))&gt;=$F13)*(DATE(YEAR(Q$6),MONTH(Q$6),MIN(DAY($F13),DAY(EOMONTH(Q$6,0))))&gt;=Q$5)*(DATE(YEAR(Q$6),MONTH(Q$6),MIN(DAY($F13),DAY(EOMONTH(Q$6,0))))&lt;=Q$6)*(MOD((YEAR(Q$6)-YEAR($F13))*12+MONTH(Q$6)-MONTH($F13),3)=0)),IF($D13="One-off",($F13&gt;=Q$5)*($F13&lt;=Q$6),0))))))</f>
        <v>0</v>
      </c>
      <c r="R13" s="19">
        <f>IF(OR($E13="",$F13="",$D13=""),0,IF(OR($C13="Loan and finance repayments",$C13="VAT and taxes",$C13="Capital expenditure",$C13="Licences and regulatory fees"),1,1+CostAdj)*$E13*IF($D13="Weekly",(MAX(0,INT((R$6-$F13)/7)+1)-MAX(0,INT((R$5-1-$F13)/7)+1)),IF($D13="Fortnightly",(MAX(0,INT((R$6-$F13)/14)+1)-MAX(0,INT((R$5-1-$F13)/14)+1)),IF($D13="Monthly",((DATE(YEAR(R$5),MONTH(R$5),MIN(DAY($F13),DAY(EOMONTH(R$5,0))))&gt;=MAX(R$5,$F13))*(DATE(YEAR(R$5),MONTH(R$5),MIN(DAY($F13),DAY(EOMONTH(R$5,0))))&lt;=R$6)*(MOD((YEAR(R$5)-YEAR($F13))*12+MONTH(R$5)-MONTH($F13),1)=0)+(MONTH(R$6)&lt;&gt;MONTH(R$5))*(DATE(YEAR(R$6),MONTH(R$6),MIN(DAY($F13),DAY(EOMONTH(R$6,0))))&gt;=$F13)*(DATE(YEAR(R$6),MONTH(R$6),MIN(DAY($F13),DAY(EOMONTH(R$6,0))))&gt;=R$5)*(DATE(YEAR(R$6),MONTH(R$6),MIN(DAY($F13),DAY(EOMONTH(R$6,0))))&lt;=R$6)*(MOD((YEAR(R$6)-YEAR($F13))*12+MONTH(R$6)-MONTH($F13),1)=0)),IF($D13="Quarterly",((DATE(YEAR(R$5),MONTH(R$5),MIN(DAY($F13),DAY(EOMONTH(R$5,0))))&gt;=MAX(R$5,$F13))*(DATE(YEAR(R$5),MONTH(R$5),MIN(DAY($F13),DAY(EOMONTH(R$5,0))))&lt;=R$6)*(MOD((YEAR(R$5)-YEAR($F13))*12+MONTH(R$5)-MONTH($F13),3)=0)+(MONTH(R$6)&lt;&gt;MONTH(R$5))*(DATE(YEAR(R$6),MONTH(R$6),MIN(DAY($F13),DAY(EOMONTH(R$6,0))))&gt;=$F13)*(DATE(YEAR(R$6),MONTH(R$6),MIN(DAY($F13),DAY(EOMONTH(R$6,0))))&gt;=R$5)*(DATE(YEAR(R$6),MONTH(R$6),MIN(DAY($F13),DAY(EOMONTH(R$6,0))))&lt;=R$6)*(MOD((YEAR(R$6)-YEAR($F13))*12+MONTH(R$6)-MONTH($F13),3)=0)),IF($D13="One-off",($F13&gt;=R$5)*($F13&lt;=R$6),0))))))</f>
        <v>22000</v>
      </c>
      <c r="S13" s="19">
        <f>IF(OR($E13="",$F13="",$D13=""),0,IF(OR($C13="Loan and finance repayments",$C13="VAT and taxes",$C13="Capital expenditure",$C13="Licences and regulatory fees"),1,1+CostAdj)*$E13*IF($D13="Weekly",(MAX(0,INT((S$6-$F13)/7)+1)-MAX(0,INT((S$5-1-$F13)/7)+1)),IF($D13="Fortnightly",(MAX(0,INT((S$6-$F13)/14)+1)-MAX(0,INT((S$5-1-$F13)/14)+1)),IF($D13="Monthly",((DATE(YEAR(S$5),MONTH(S$5),MIN(DAY($F13),DAY(EOMONTH(S$5,0))))&gt;=MAX(S$5,$F13))*(DATE(YEAR(S$5),MONTH(S$5),MIN(DAY($F13),DAY(EOMONTH(S$5,0))))&lt;=S$6)*(MOD((YEAR(S$5)-YEAR($F13))*12+MONTH(S$5)-MONTH($F13),1)=0)+(MONTH(S$6)&lt;&gt;MONTH(S$5))*(DATE(YEAR(S$6),MONTH(S$6),MIN(DAY($F13),DAY(EOMONTH(S$6,0))))&gt;=$F13)*(DATE(YEAR(S$6),MONTH(S$6),MIN(DAY($F13),DAY(EOMONTH(S$6,0))))&gt;=S$5)*(DATE(YEAR(S$6),MONTH(S$6),MIN(DAY($F13),DAY(EOMONTH(S$6,0))))&lt;=S$6)*(MOD((YEAR(S$6)-YEAR($F13))*12+MONTH(S$6)-MONTH($F13),1)=0)),IF($D13="Quarterly",((DATE(YEAR(S$5),MONTH(S$5),MIN(DAY($F13),DAY(EOMONTH(S$5,0))))&gt;=MAX(S$5,$F13))*(DATE(YEAR(S$5),MONTH(S$5),MIN(DAY($F13),DAY(EOMONTH(S$5,0))))&lt;=S$6)*(MOD((YEAR(S$5)-YEAR($F13))*12+MONTH(S$5)-MONTH($F13),3)=0)+(MONTH(S$6)&lt;&gt;MONTH(S$5))*(DATE(YEAR(S$6),MONTH(S$6),MIN(DAY($F13),DAY(EOMONTH(S$6,0))))&gt;=$F13)*(DATE(YEAR(S$6),MONTH(S$6),MIN(DAY($F13),DAY(EOMONTH(S$6,0))))&gt;=S$5)*(DATE(YEAR(S$6),MONTH(S$6),MIN(DAY($F13),DAY(EOMONTH(S$6,0))))&lt;=S$6)*(MOD((YEAR(S$6)-YEAR($F13))*12+MONTH(S$6)-MONTH($F13),3)=0)),IF($D13="One-off",($F13&gt;=S$5)*($F13&lt;=S$6),0))))))</f>
        <v>0</v>
      </c>
      <c r="T13" s="19">
        <f>IF(OR($E13="",$F13="",$D13=""),0,IF(OR($C13="Loan and finance repayments",$C13="VAT and taxes",$C13="Capital expenditure",$C13="Licences and regulatory fees"),1,1+CostAdj)*$E13*IF($D13="Weekly",(MAX(0,INT((T$6-$F13)/7)+1)-MAX(0,INT((T$5-1-$F13)/7)+1)),IF($D13="Fortnightly",(MAX(0,INT((T$6-$F13)/14)+1)-MAX(0,INT((T$5-1-$F13)/14)+1)),IF($D13="Monthly",((DATE(YEAR(T$5),MONTH(T$5),MIN(DAY($F13),DAY(EOMONTH(T$5,0))))&gt;=MAX(T$5,$F13))*(DATE(YEAR(T$5),MONTH(T$5),MIN(DAY($F13),DAY(EOMONTH(T$5,0))))&lt;=T$6)*(MOD((YEAR(T$5)-YEAR($F13))*12+MONTH(T$5)-MONTH($F13),1)=0)+(MONTH(T$6)&lt;&gt;MONTH(T$5))*(DATE(YEAR(T$6),MONTH(T$6),MIN(DAY($F13),DAY(EOMONTH(T$6,0))))&gt;=$F13)*(DATE(YEAR(T$6),MONTH(T$6),MIN(DAY($F13),DAY(EOMONTH(T$6,0))))&gt;=T$5)*(DATE(YEAR(T$6),MONTH(T$6),MIN(DAY($F13),DAY(EOMONTH(T$6,0))))&lt;=T$6)*(MOD((YEAR(T$6)-YEAR($F13))*12+MONTH(T$6)-MONTH($F13),1)=0)),IF($D13="Quarterly",((DATE(YEAR(T$5),MONTH(T$5),MIN(DAY($F13),DAY(EOMONTH(T$5,0))))&gt;=MAX(T$5,$F13))*(DATE(YEAR(T$5),MONTH(T$5),MIN(DAY($F13),DAY(EOMONTH(T$5,0))))&lt;=T$6)*(MOD((YEAR(T$5)-YEAR($F13))*12+MONTH(T$5)-MONTH($F13),3)=0)+(MONTH(T$6)&lt;&gt;MONTH(T$5))*(DATE(YEAR(T$6),MONTH(T$6),MIN(DAY($F13),DAY(EOMONTH(T$6,0))))&gt;=$F13)*(DATE(YEAR(T$6),MONTH(T$6),MIN(DAY($F13),DAY(EOMONTH(T$6,0))))&gt;=T$5)*(DATE(YEAR(T$6),MONTH(T$6),MIN(DAY($F13),DAY(EOMONTH(T$6,0))))&lt;=T$6)*(MOD((YEAR(T$6)-YEAR($F13))*12+MONTH(T$6)-MONTH($F13),3)=0)),IF($D13="One-off",($F13&gt;=T$5)*($F13&lt;=T$6),0))))))</f>
        <v>0</v>
      </c>
      <c r="U13" s="36">
        <f>SUM(H13:T13)</f>
        <v>66000</v>
      </c>
    </row>
    <row r="14" spans="1:21">
      <c r="A14" s="42">
        <v>6</v>
      </c>
      <c r="B14" s="7" t="s">
        <v>134</v>
      </c>
      <c r="C14" s="7" t="s">
        <v>3</v>
      </c>
      <c r="D14" s="7" t="s">
        <v>15</v>
      </c>
      <c r="E14" s="18">
        <v>3800</v>
      </c>
      <c r="F14" s="17">
        <v>46315</v>
      </c>
      <c r="G14" s="7"/>
      <c r="H14" s="19">
        <f>IF(OR($E14="",$F14="",$D14=""),0,IF(OR($C14="Loan and finance repayments",$C14="VAT and taxes",$C14="Capital expenditure",$C14="Licences and regulatory fees"),1,1+CostAdj)*$E14*IF($D14="Weekly",(MAX(0,INT((H$6-$F14)/7)+1)-MAX(0,INT((H$5-1-$F14)/7)+1)),IF($D14="Fortnightly",(MAX(0,INT((H$6-$F14)/14)+1)-MAX(0,INT((H$5-1-$F14)/14)+1)),IF($D14="Monthly",((DATE(YEAR(H$5),MONTH(H$5),MIN(DAY($F14),DAY(EOMONTH(H$5,0))))&gt;=MAX(H$5,$F14))*(DATE(YEAR(H$5),MONTH(H$5),MIN(DAY($F14),DAY(EOMONTH(H$5,0))))&lt;=H$6)*(MOD((YEAR(H$5)-YEAR($F14))*12+MONTH(H$5)-MONTH($F14),1)=0)+(MONTH(H$6)&lt;&gt;MONTH(H$5))*(DATE(YEAR(H$6),MONTH(H$6),MIN(DAY($F14),DAY(EOMONTH(H$6,0))))&gt;=$F14)*(DATE(YEAR(H$6),MONTH(H$6),MIN(DAY($F14),DAY(EOMONTH(H$6,0))))&gt;=H$5)*(DATE(YEAR(H$6),MONTH(H$6),MIN(DAY($F14),DAY(EOMONTH(H$6,0))))&lt;=H$6)*(MOD((YEAR(H$6)-YEAR($F14))*12+MONTH(H$6)-MONTH($F14),1)=0)),IF($D14="Quarterly",((DATE(YEAR(H$5),MONTH(H$5),MIN(DAY($F14),DAY(EOMONTH(H$5,0))))&gt;=MAX(H$5,$F14))*(DATE(YEAR(H$5),MONTH(H$5),MIN(DAY($F14),DAY(EOMONTH(H$5,0))))&lt;=H$6)*(MOD((YEAR(H$5)-YEAR($F14))*12+MONTH(H$5)-MONTH($F14),3)=0)+(MONTH(H$6)&lt;&gt;MONTH(H$5))*(DATE(YEAR(H$6),MONTH(H$6),MIN(DAY($F14),DAY(EOMONTH(H$6,0))))&gt;=$F14)*(DATE(YEAR(H$6),MONTH(H$6),MIN(DAY($F14),DAY(EOMONTH(H$6,0))))&gt;=H$5)*(DATE(YEAR(H$6),MONTH(H$6),MIN(DAY($F14),DAY(EOMONTH(H$6,0))))&lt;=H$6)*(MOD((YEAR(H$6)-YEAR($F14))*12+MONTH(H$6)-MONTH($F14),3)=0)),IF($D14="One-off",($F14&gt;=H$5)*($F14&lt;=H$6),0))))))</f>
        <v>0</v>
      </c>
      <c r="I14" s="19">
        <f>IF(OR($E14="",$F14="",$D14=""),0,IF(OR($C14="Loan and finance repayments",$C14="VAT and taxes",$C14="Capital expenditure",$C14="Licences and regulatory fees"),1,1+CostAdj)*$E14*IF($D14="Weekly",(MAX(0,INT((I$6-$F14)/7)+1)-MAX(0,INT((I$5-1-$F14)/7)+1)),IF($D14="Fortnightly",(MAX(0,INT((I$6-$F14)/14)+1)-MAX(0,INT((I$5-1-$F14)/14)+1)),IF($D14="Monthly",((DATE(YEAR(I$5),MONTH(I$5),MIN(DAY($F14),DAY(EOMONTH(I$5,0))))&gt;=MAX(I$5,$F14))*(DATE(YEAR(I$5),MONTH(I$5),MIN(DAY($F14),DAY(EOMONTH(I$5,0))))&lt;=I$6)*(MOD((YEAR(I$5)-YEAR($F14))*12+MONTH(I$5)-MONTH($F14),1)=0)+(MONTH(I$6)&lt;&gt;MONTH(I$5))*(DATE(YEAR(I$6),MONTH(I$6),MIN(DAY($F14),DAY(EOMONTH(I$6,0))))&gt;=$F14)*(DATE(YEAR(I$6),MONTH(I$6),MIN(DAY($F14),DAY(EOMONTH(I$6,0))))&gt;=I$5)*(DATE(YEAR(I$6),MONTH(I$6),MIN(DAY($F14),DAY(EOMONTH(I$6,0))))&lt;=I$6)*(MOD((YEAR(I$6)-YEAR($F14))*12+MONTH(I$6)-MONTH($F14),1)=0)),IF($D14="Quarterly",((DATE(YEAR(I$5),MONTH(I$5),MIN(DAY($F14),DAY(EOMONTH(I$5,0))))&gt;=MAX(I$5,$F14))*(DATE(YEAR(I$5),MONTH(I$5),MIN(DAY($F14),DAY(EOMONTH(I$5,0))))&lt;=I$6)*(MOD((YEAR(I$5)-YEAR($F14))*12+MONTH(I$5)-MONTH($F14),3)=0)+(MONTH(I$6)&lt;&gt;MONTH(I$5))*(DATE(YEAR(I$6),MONTH(I$6),MIN(DAY($F14),DAY(EOMONTH(I$6,0))))&gt;=$F14)*(DATE(YEAR(I$6),MONTH(I$6),MIN(DAY($F14),DAY(EOMONTH(I$6,0))))&gt;=I$5)*(DATE(YEAR(I$6),MONTH(I$6),MIN(DAY($F14),DAY(EOMONTH(I$6,0))))&lt;=I$6)*(MOD((YEAR(I$6)-YEAR($F14))*12+MONTH(I$6)-MONTH($F14),3)=0)),IF($D14="One-off",($F14&gt;=I$5)*($F14&lt;=I$6),0))))))</f>
        <v>0</v>
      </c>
      <c r="J14" s="19">
        <f>IF(OR($E14="",$F14="",$D14=""),0,IF(OR($C14="Loan and finance repayments",$C14="VAT and taxes",$C14="Capital expenditure",$C14="Licences and regulatory fees"),1,1+CostAdj)*$E14*IF($D14="Weekly",(MAX(0,INT((J$6-$F14)/7)+1)-MAX(0,INT((J$5-1-$F14)/7)+1)),IF($D14="Fortnightly",(MAX(0,INT((J$6-$F14)/14)+1)-MAX(0,INT((J$5-1-$F14)/14)+1)),IF($D14="Monthly",((DATE(YEAR(J$5),MONTH(J$5),MIN(DAY($F14),DAY(EOMONTH(J$5,0))))&gt;=MAX(J$5,$F14))*(DATE(YEAR(J$5),MONTH(J$5),MIN(DAY($F14),DAY(EOMONTH(J$5,0))))&lt;=J$6)*(MOD((YEAR(J$5)-YEAR($F14))*12+MONTH(J$5)-MONTH($F14),1)=0)+(MONTH(J$6)&lt;&gt;MONTH(J$5))*(DATE(YEAR(J$6),MONTH(J$6),MIN(DAY($F14),DAY(EOMONTH(J$6,0))))&gt;=$F14)*(DATE(YEAR(J$6),MONTH(J$6),MIN(DAY($F14),DAY(EOMONTH(J$6,0))))&gt;=J$5)*(DATE(YEAR(J$6),MONTH(J$6),MIN(DAY($F14),DAY(EOMONTH(J$6,0))))&lt;=J$6)*(MOD((YEAR(J$6)-YEAR($F14))*12+MONTH(J$6)-MONTH($F14),1)=0)),IF($D14="Quarterly",((DATE(YEAR(J$5),MONTH(J$5),MIN(DAY($F14),DAY(EOMONTH(J$5,0))))&gt;=MAX(J$5,$F14))*(DATE(YEAR(J$5),MONTH(J$5),MIN(DAY($F14),DAY(EOMONTH(J$5,0))))&lt;=J$6)*(MOD((YEAR(J$5)-YEAR($F14))*12+MONTH(J$5)-MONTH($F14),3)=0)+(MONTH(J$6)&lt;&gt;MONTH(J$5))*(DATE(YEAR(J$6),MONTH(J$6),MIN(DAY($F14),DAY(EOMONTH(J$6,0))))&gt;=$F14)*(DATE(YEAR(J$6),MONTH(J$6),MIN(DAY($F14),DAY(EOMONTH(J$6,0))))&gt;=J$5)*(DATE(YEAR(J$6),MONTH(J$6),MIN(DAY($F14),DAY(EOMONTH(J$6,0))))&lt;=J$6)*(MOD((YEAR(J$6)-YEAR($F14))*12+MONTH(J$6)-MONTH($F14),3)=0)),IF($D14="One-off",($F14&gt;=J$5)*($F14&lt;=J$6),0))))))</f>
        <v>3800</v>
      </c>
      <c r="K14" s="19">
        <f>IF(OR($E14="",$F14="",$D14=""),0,IF(OR($C14="Loan and finance repayments",$C14="VAT and taxes",$C14="Capital expenditure",$C14="Licences and regulatory fees"),1,1+CostAdj)*$E14*IF($D14="Weekly",(MAX(0,INT((K$6-$F14)/7)+1)-MAX(0,INT((K$5-1-$F14)/7)+1)),IF($D14="Fortnightly",(MAX(0,INT((K$6-$F14)/14)+1)-MAX(0,INT((K$5-1-$F14)/14)+1)),IF($D14="Monthly",((DATE(YEAR(K$5),MONTH(K$5),MIN(DAY($F14),DAY(EOMONTH(K$5,0))))&gt;=MAX(K$5,$F14))*(DATE(YEAR(K$5),MONTH(K$5),MIN(DAY($F14),DAY(EOMONTH(K$5,0))))&lt;=K$6)*(MOD((YEAR(K$5)-YEAR($F14))*12+MONTH(K$5)-MONTH($F14),1)=0)+(MONTH(K$6)&lt;&gt;MONTH(K$5))*(DATE(YEAR(K$6),MONTH(K$6),MIN(DAY($F14),DAY(EOMONTH(K$6,0))))&gt;=$F14)*(DATE(YEAR(K$6),MONTH(K$6),MIN(DAY($F14),DAY(EOMONTH(K$6,0))))&gt;=K$5)*(DATE(YEAR(K$6),MONTH(K$6),MIN(DAY($F14),DAY(EOMONTH(K$6,0))))&lt;=K$6)*(MOD((YEAR(K$6)-YEAR($F14))*12+MONTH(K$6)-MONTH($F14),1)=0)),IF($D14="Quarterly",((DATE(YEAR(K$5),MONTH(K$5),MIN(DAY($F14),DAY(EOMONTH(K$5,0))))&gt;=MAX(K$5,$F14))*(DATE(YEAR(K$5),MONTH(K$5),MIN(DAY($F14),DAY(EOMONTH(K$5,0))))&lt;=K$6)*(MOD((YEAR(K$5)-YEAR($F14))*12+MONTH(K$5)-MONTH($F14),3)=0)+(MONTH(K$6)&lt;&gt;MONTH(K$5))*(DATE(YEAR(K$6),MONTH(K$6),MIN(DAY($F14),DAY(EOMONTH(K$6,0))))&gt;=$F14)*(DATE(YEAR(K$6),MONTH(K$6),MIN(DAY($F14),DAY(EOMONTH(K$6,0))))&gt;=K$5)*(DATE(YEAR(K$6),MONTH(K$6),MIN(DAY($F14),DAY(EOMONTH(K$6,0))))&lt;=K$6)*(MOD((YEAR(K$6)-YEAR($F14))*12+MONTH(K$6)-MONTH($F14),3)=0)),IF($D14="One-off",($F14&gt;=K$5)*($F14&lt;=K$6),0))))))</f>
        <v>0</v>
      </c>
      <c r="L14" s="19">
        <f>IF(OR($E14="",$F14="",$D14=""),0,IF(OR($C14="Loan and finance repayments",$C14="VAT and taxes",$C14="Capital expenditure",$C14="Licences and regulatory fees"),1,1+CostAdj)*$E14*IF($D14="Weekly",(MAX(0,INT((L$6-$F14)/7)+1)-MAX(0,INT((L$5-1-$F14)/7)+1)),IF($D14="Fortnightly",(MAX(0,INT((L$6-$F14)/14)+1)-MAX(0,INT((L$5-1-$F14)/14)+1)),IF($D14="Monthly",((DATE(YEAR(L$5),MONTH(L$5),MIN(DAY($F14),DAY(EOMONTH(L$5,0))))&gt;=MAX(L$5,$F14))*(DATE(YEAR(L$5),MONTH(L$5),MIN(DAY($F14),DAY(EOMONTH(L$5,0))))&lt;=L$6)*(MOD((YEAR(L$5)-YEAR($F14))*12+MONTH(L$5)-MONTH($F14),1)=0)+(MONTH(L$6)&lt;&gt;MONTH(L$5))*(DATE(YEAR(L$6),MONTH(L$6),MIN(DAY($F14),DAY(EOMONTH(L$6,0))))&gt;=$F14)*(DATE(YEAR(L$6),MONTH(L$6),MIN(DAY($F14),DAY(EOMONTH(L$6,0))))&gt;=L$5)*(DATE(YEAR(L$6),MONTH(L$6),MIN(DAY($F14),DAY(EOMONTH(L$6,0))))&lt;=L$6)*(MOD((YEAR(L$6)-YEAR($F14))*12+MONTH(L$6)-MONTH($F14),1)=0)),IF($D14="Quarterly",((DATE(YEAR(L$5),MONTH(L$5),MIN(DAY($F14),DAY(EOMONTH(L$5,0))))&gt;=MAX(L$5,$F14))*(DATE(YEAR(L$5),MONTH(L$5),MIN(DAY($F14),DAY(EOMONTH(L$5,0))))&lt;=L$6)*(MOD((YEAR(L$5)-YEAR($F14))*12+MONTH(L$5)-MONTH($F14),3)=0)+(MONTH(L$6)&lt;&gt;MONTH(L$5))*(DATE(YEAR(L$6),MONTH(L$6),MIN(DAY($F14),DAY(EOMONTH(L$6,0))))&gt;=$F14)*(DATE(YEAR(L$6),MONTH(L$6),MIN(DAY($F14),DAY(EOMONTH(L$6,0))))&gt;=L$5)*(DATE(YEAR(L$6),MONTH(L$6),MIN(DAY($F14),DAY(EOMONTH(L$6,0))))&lt;=L$6)*(MOD((YEAR(L$6)-YEAR($F14))*12+MONTH(L$6)-MONTH($F14),3)=0)),IF($D14="One-off",($F14&gt;=L$5)*($F14&lt;=L$6),0))))))</f>
        <v>0</v>
      </c>
      <c r="M14" s="19">
        <f>IF(OR($E14="",$F14="",$D14=""),0,IF(OR($C14="Loan and finance repayments",$C14="VAT and taxes",$C14="Capital expenditure",$C14="Licences and regulatory fees"),1,1+CostAdj)*$E14*IF($D14="Weekly",(MAX(0,INT((M$6-$F14)/7)+1)-MAX(0,INT((M$5-1-$F14)/7)+1)),IF($D14="Fortnightly",(MAX(0,INT((M$6-$F14)/14)+1)-MAX(0,INT((M$5-1-$F14)/14)+1)),IF($D14="Monthly",((DATE(YEAR(M$5),MONTH(M$5),MIN(DAY($F14),DAY(EOMONTH(M$5,0))))&gt;=MAX(M$5,$F14))*(DATE(YEAR(M$5),MONTH(M$5),MIN(DAY($F14),DAY(EOMONTH(M$5,0))))&lt;=M$6)*(MOD((YEAR(M$5)-YEAR($F14))*12+MONTH(M$5)-MONTH($F14),1)=0)+(MONTH(M$6)&lt;&gt;MONTH(M$5))*(DATE(YEAR(M$6),MONTH(M$6),MIN(DAY($F14),DAY(EOMONTH(M$6,0))))&gt;=$F14)*(DATE(YEAR(M$6),MONTH(M$6),MIN(DAY($F14),DAY(EOMONTH(M$6,0))))&gt;=M$5)*(DATE(YEAR(M$6),MONTH(M$6),MIN(DAY($F14),DAY(EOMONTH(M$6,0))))&lt;=M$6)*(MOD((YEAR(M$6)-YEAR($F14))*12+MONTH(M$6)-MONTH($F14),1)=0)),IF($D14="Quarterly",((DATE(YEAR(M$5),MONTH(M$5),MIN(DAY($F14),DAY(EOMONTH(M$5,0))))&gt;=MAX(M$5,$F14))*(DATE(YEAR(M$5),MONTH(M$5),MIN(DAY($F14),DAY(EOMONTH(M$5,0))))&lt;=M$6)*(MOD((YEAR(M$5)-YEAR($F14))*12+MONTH(M$5)-MONTH($F14),3)=0)+(MONTH(M$6)&lt;&gt;MONTH(M$5))*(DATE(YEAR(M$6),MONTH(M$6),MIN(DAY($F14),DAY(EOMONTH(M$6,0))))&gt;=$F14)*(DATE(YEAR(M$6),MONTH(M$6),MIN(DAY($F14),DAY(EOMONTH(M$6,0))))&gt;=M$5)*(DATE(YEAR(M$6),MONTH(M$6),MIN(DAY($F14),DAY(EOMONTH(M$6,0))))&lt;=M$6)*(MOD((YEAR(M$6)-YEAR($F14))*12+MONTH(M$6)-MONTH($F14),3)=0)),IF($D14="One-off",($F14&gt;=M$5)*($F14&lt;=M$6),0))))))</f>
        <v>0</v>
      </c>
      <c r="N14" s="19">
        <f>IF(OR($E14="",$F14="",$D14=""),0,IF(OR($C14="Loan and finance repayments",$C14="VAT and taxes",$C14="Capital expenditure",$C14="Licences and regulatory fees"),1,1+CostAdj)*$E14*IF($D14="Weekly",(MAX(0,INT((N$6-$F14)/7)+1)-MAX(0,INT((N$5-1-$F14)/7)+1)),IF($D14="Fortnightly",(MAX(0,INT((N$6-$F14)/14)+1)-MAX(0,INT((N$5-1-$F14)/14)+1)),IF($D14="Monthly",((DATE(YEAR(N$5),MONTH(N$5),MIN(DAY($F14),DAY(EOMONTH(N$5,0))))&gt;=MAX(N$5,$F14))*(DATE(YEAR(N$5),MONTH(N$5),MIN(DAY($F14),DAY(EOMONTH(N$5,0))))&lt;=N$6)*(MOD((YEAR(N$5)-YEAR($F14))*12+MONTH(N$5)-MONTH($F14),1)=0)+(MONTH(N$6)&lt;&gt;MONTH(N$5))*(DATE(YEAR(N$6),MONTH(N$6),MIN(DAY($F14),DAY(EOMONTH(N$6,0))))&gt;=$F14)*(DATE(YEAR(N$6),MONTH(N$6),MIN(DAY($F14),DAY(EOMONTH(N$6,0))))&gt;=N$5)*(DATE(YEAR(N$6),MONTH(N$6),MIN(DAY($F14),DAY(EOMONTH(N$6,0))))&lt;=N$6)*(MOD((YEAR(N$6)-YEAR($F14))*12+MONTH(N$6)-MONTH($F14),1)=0)),IF($D14="Quarterly",((DATE(YEAR(N$5),MONTH(N$5),MIN(DAY($F14),DAY(EOMONTH(N$5,0))))&gt;=MAX(N$5,$F14))*(DATE(YEAR(N$5),MONTH(N$5),MIN(DAY($F14),DAY(EOMONTH(N$5,0))))&lt;=N$6)*(MOD((YEAR(N$5)-YEAR($F14))*12+MONTH(N$5)-MONTH($F14),3)=0)+(MONTH(N$6)&lt;&gt;MONTH(N$5))*(DATE(YEAR(N$6),MONTH(N$6),MIN(DAY($F14),DAY(EOMONTH(N$6,0))))&gt;=$F14)*(DATE(YEAR(N$6),MONTH(N$6),MIN(DAY($F14),DAY(EOMONTH(N$6,0))))&gt;=N$5)*(DATE(YEAR(N$6),MONTH(N$6),MIN(DAY($F14),DAY(EOMONTH(N$6,0))))&lt;=N$6)*(MOD((YEAR(N$6)-YEAR($F14))*12+MONTH(N$6)-MONTH($F14),3)=0)),IF($D14="One-off",($F14&gt;=N$5)*($F14&lt;=N$6),0))))))</f>
        <v>3800</v>
      </c>
      <c r="O14" s="19">
        <f>IF(OR($E14="",$F14="",$D14=""),0,IF(OR($C14="Loan and finance repayments",$C14="VAT and taxes",$C14="Capital expenditure",$C14="Licences and regulatory fees"),1,1+CostAdj)*$E14*IF($D14="Weekly",(MAX(0,INT((O$6-$F14)/7)+1)-MAX(0,INT((O$5-1-$F14)/7)+1)),IF($D14="Fortnightly",(MAX(0,INT((O$6-$F14)/14)+1)-MAX(0,INT((O$5-1-$F14)/14)+1)),IF($D14="Monthly",((DATE(YEAR(O$5),MONTH(O$5),MIN(DAY($F14),DAY(EOMONTH(O$5,0))))&gt;=MAX(O$5,$F14))*(DATE(YEAR(O$5),MONTH(O$5),MIN(DAY($F14),DAY(EOMONTH(O$5,0))))&lt;=O$6)*(MOD((YEAR(O$5)-YEAR($F14))*12+MONTH(O$5)-MONTH($F14),1)=0)+(MONTH(O$6)&lt;&gt;MONTH(O$5))*(DATE(YEAR(O$6),MONTH(O$6),MIN(DAY($F14),DAY(EOMONTH(O$6,0))))&gt;=$F14)*(DATE(YEAR(O$6),MONTH(O$6),MIN(DAY($F14),DAY(EOMONTH(O$6,0))))&gt;=O$5)*(DATE(YEAR(O$6),MONTH(O$6),MIN(DAY($F14),DAY(EOMONTH(O$6,0))))&lt;=O$6)*(MOD((YEAR(O$6)-YEAR($F14))*12+MONTH(O$6)-MONTH($F14),1)=0)),IF($D14="Quarterly",((DATE(YEAR(O$5),MONTH(O$5),MIN(DAY($F14),DAY(EOMONTH(O$5,0))))&gt;=MAX(O$5,$F14))*(DATE(YEAR(O$5),MONTH(O$5),MIN(DAY($F14),DAY(EOMONTH(O$5,0))))&lt;=O$6)*(MOD((YEAR(O$5)-YEAR($F14))*12+MONTH(O$5)-MONTH($F14),3)=0)+(MONTH(O$6)&lt;&gt;MONTH(O$5))*(DATE(YEAR(O$6),MONTH(O$6),MIN(DAY($F14),DAY(EOMONTH(O$6,0))))&gt;=$F14)*(DATE(YEAR(O$6),MONTH(O$6),MIN(DAY($F14),DAY(EOMONTH(O$6,0))))&gt;=O$5)*(DATE(YEAR(O$6),MONTH(O$6),MIN(DAY($F14),DAY(EOMONTH(O$6,0))))&lt;=O$6)*(MOD((YEAR(O$6)-YEAR($F14))*12+MONTH(O$6)-MONTH($F14),3)=0)),IF($D14="One-off",($F14&gt;=O$5)*($F14&lt;=O$6),0))))))</f>
        <v>0</v>
      </c>
      <c r="P14" s="19">
        <f>IF(OR($E14="",$F14="",$D14=""),0,IF(OR($C14="Loan and finance repayments",$C14="VAT and taxes",$C14="Capital expenditure",$C14="Licences and regulatory fees"),1,1+CostAdj)*$E14*IF($D14="Weekly",(MAX(0,INT((P$6-$F14)/7)+1)-MAX(0,INT((P$5-1-$F14)/7)+1)),IF($D14="Fortnightly",(MAX(0,INT((P$6-$F14)/14)+1)-MAX(0,INT((P$5-1-$F14)/14)+1)),IF($D14="Monthly",((DATE(YEAR(P$5),MONTH(P$5),MIN(DAY($F14),DAY(EOMONTH(P$5,0))))&gt;=MAX(P$5,$F14))*(DATE(YEAR(P$5),MONTH(P$5),MIN(DAY($F14),DAY(EOMONTH(P$5,0))))&lt;=P$6)*(MOD((YEAR(P$5)-YEAR($F14))*12+MONTH(P$5)-MONTH($F14),1)=0)+(MONTH(P$6)&lt;&gt;MONTH(P$5))*(DATE(YEAR(P$6),MONTH(P$6),MIN(DAY($F14),DAY(EOMONTH(P$6,0))))&gt;=$F14)*(DATE(YEAR(P$6),MONTH(P$6),MIN(DAY($F14),DAY(EOMONTH(P$6,0))))&gt;=P$5)*(DATE(YEAR(P$6),MONTH(P$6),MIN(DAY($F14),DAY(EOMONTH(P$6,0))))&lt;=P$6)*(MOD((YEAR(P$6)-YEAR($F14))*12+MONTH(P$6)-MONTH($F14),1)=0)),IF($D14="Quarterly",((DATE(YEAR(P$5),MONTH(P$5),MIN(DAY($F14),DAY(EOMONTH(P$5,0))))&gt;=MAX(P$5,$F14))*(DATE(YEAR(P$5),MONTH(P$5),MIN(DAY($F14),DAY(EOMONTH(P$5,0))))&lt;=P$6)*(MOD((YEAR(P$5)-YEAR($F14))*12+MONTH(P$5)-MONTH($F14),3)=0)+(MONTH(P$6)&lt;&gt;MONTH(P$5))*(DATE(YEAR(P$6),MONTH(P$6),MIN(DAY($F14),DAY(EOMONTH(P$6,0))))&gt;=$F14)*(DATE(YEAR(P$6),MONTH(P$6),MIN(DAY($F14),DAY(EOMONTH(P$6,0))))&gt;=P$5)*(DATE(YEAR(P$6),MONTH(P$6),MIN(DAY($F14),DAY(EOMONTH(P$6,0))))&lt;=P$6)*(MOD((YEAR(P$6)-YEAR($F14))*12+MONTH(P$6)-MONTH($F14),3)=0)),IF($D14="One-off",($F14&gt;=P$5)*($F14&lt;=P$6),0))))))</f>
        <v>0</v>
      </c>
      <c r="Q14" s="19">
        <f>IF(OR($E14="",$F14="",$D14=""),0,IF(OR($C14="Loan and finance repayments",$C14="VAT and taxes",$C14="Capital expenditure",$C14="Licences and regulatory fees"),1,1+CostAdj)*$E14*IF($D14="Weekly",(MAX(0,INT((Q$6-$F14)/7)+1)-MAX(0,INT((Q$5-1-$F14)/7)+1)),IF($D14="Fortnightly",(MAX(0,INT((Q$6-$F14)/14)+1)-MAX(0,INT((Q$5-1-$F14)/14)+1)),IF($D14="Monthly",((DATE(YEAR(Q$5),MONTH(Q$5),MIN(DAY($F14),DAY(EOMONTH(Q$5,0))))&gt;=MAX(Q$5,$F14))*(DATE(YEAR(Q$5),MONTH(Q$5),MIN(DAY($F14),DAY(EOMONTH(Q$5,0))))&lt;=Q$6)*(MOD((YEAR(Q$5)-YEAR($F14))*12+MONTH(Q$5)-MONTH($F14),1)=0)+(MONTH(Q$6)&lt;&gt;MONTH(Q$5))*(DATE(YEAR(Q$6),MONTH(Q$6),MIN(DAY($F14),DAY(EOMONTH(Q$6,0))))&gt;=$F14)*(DATE(YEAR(Q$6),MONTH(Q$6),MIN(DAY($F14),DAY(EOMONTH(Q$6,0))))&gt;=Q$5)*(DATE(YEAR(Q$6),MONTH(Q$6),MIN(DAY($F14),DAY(EOMONTH(Q$6,0))))&lt;=Q$6)*(MOD((YEAR(Q$6)-YEAR($F14))*12+MONTH(Q$6)-MONTH($F14),1)=0)),IF($D14="Quarterly",((DATE(YEAR(Q$5),MONTH(Q$5),MIN(DAY($F14),DAY(EOMONTH(Q$5,0))))&gt;=MAX(Q$5,$F14))*(DATE(YEAR(Q$5),MONTH(Q$5),MIN(DAY($F14),DAY(EOMONTH(Q$5,0))))&lt;=Q$6)*(MOD((YEAR(Q$5)-YEAR($F14))*12+MONTH(Q$5)-MONTH($F14),3)=0)+(MONTH(Q$6)&lt;&gt;MONTH(Q$5))*(DATE(YEAR(Q$6),MONTH(Q$6),MIN(DAY($F14),DAY(EOMONTH(Q$6,0))))&gt;=$F14)*(DATE(YEAR(Q$6),MONTH(Q$6),MIN(DAY($F14),DAY(EOMONTH(Q$6,0))))&gt;=Q$5)*(DATE(YEAR(Q$6),MONTH(Q$6),MIN(DAY($F14),DAY(EOMONTH(Q$6,0))))&lt;=Q$6)*(MOD((YEAR(Q$6)-YEAR($F14))*12+MONTH(Q$6)-MONTH($F14),3)=0)),IF($D14="One-off",($F14&gt;=Q$5)*($F14&lt;=Q$6),0))))))</f>
        <v>0</v>
      </c>
      <c r="R14" s="19">
        <f>IF(OR($E14="",$F14="",$D14=""),0,IF(OR($C14="Loan and finance repayments",$C14="VAT and taxes",$C14="Capital expenditure",$C14="Licences and regulatory fees"),1,1+CostAdj)*$E14*IF($D14="Weekly",(MAX(0,INT((R$6-$F14)/7)+1)-MAX(0,INT((R$5-1-$F14)/7)+1)),IF($D14="Fortnightly",(MAX(0,INT((R$6-$F14)/14)+1)-MAX(0,INT((R$5-1-$F14)/14)+1)),IF($D14="Monthly",((DATE(YEAR(R$5),MONTH(R$5),MIN(DAY($F14),DAY(EOMONTH(R$5,0))))&gt;=MAX(R$5,$F14))*(DATE(YEAR(R$5),MONTH(R$5),MIN(DAY($F14),DAY(EOMONTH(R$5,0))))&lt;=R$6)*(MOD((YEAR(R$5)-YEAR($F14))*12+MONTH(R$5)-MONTH($F14),1)=0)+(MONTH(R$6)&lt;&gt;MONTH(R$5))*(DATE(YEAR(R$6),MONTH(R$6),MIN(DAY($F14),DAY(EOMONTH(R$6,0))))&gt;=$F14)*(DATE(YEAR(R$6),MONTH(R$6),MIN(DAY($F14),DAY(EOMONTH(R$6,0))))&gt;=R$5)*(DATE(YEAR(R$6),MONTH(R$6),MIN(DAY($F14),DAY(EOMONTH(R$6,0))))&lt;=R$6)*(MOD((YEAR(R$6)-YEAR($F14))*12+MONTH(R$6)-MONTH($F14),1)=0)),IF($D14="Quarterly",((DATE(YEAR(R$5),MONTH(R$5),MIN(DAY($F14),DAY(EOMONTH(R$5,0))))&gt;=MAX(R$5,$F14))*(DATE(YEAR(R$5),MONTH(R$5),MIN(DAY($F14),DAY(EOMONTH(R$5,0))))&lt;=R$6)*(MOD((YEAR(R$5)-YEAR($F14))*12+MONTH(R$5)-MONTH($F14),3)=0)+(MONTH(R$6)&lt;&gt;MONTH(R$5))*(DATE(YEAR(R$6),MONTH(R$6),MIN(DAY($F14),DAY(EOMONTH(R$6,0))))&gt;=$F14)*(DATE(YEAR(R$6),MONTH(R$6),MIN(DAY($F14),DAY(EOMONTH(R$6,0))))&gt;=R$5)*(DATE(YEAR(R$6),MONTH(R$6),MIN(DAY($F14),DAY(EOMONTH(R$6,0))))&lt;=R$6)*(MOD((YEAR(R$6)-YEAR($F14))*12+MONTH(R$6)-MONTH($F14),3)=0)),IF($D14="One-off",($F14&gt;=R$5)*($F14&lt;=R$6),0))))))</f>
        <v>3800</v>
      </c>
      <c r="S14" s="19">
        <f>IF(OR($E14="",$F14="",$D14=""),0,IF(OR($C14="Loan and finance repayments",$C14="VAT and taxes",$C14="Capital expenditure",$C14="Licences and regulatory fees"),1,1+CostAdj)*$E14*IF($D14="Weekly",(MAX(0,INT((S$6-$F14)/7)+1)-MAX(0,INT((S$5-1-$F14)/7)+1)),IF($D14="Fortnightly",(MAX(0,INT((S$6-$F14)/14)+1)-MAX(0,INT((S$5-1-$F14)/14)+1)),IF($D14="Monthly",((DATE(YEAR(S$5),MONTH(S$5),MIN(DAY($F14),DAY(EOMONTH(S$5,0))))&gt;=MAX(S$5,$F14))*(DATE(YEAR(S$5),MONTH(S$5),MIN(DAY($F14),DAY(EOMONTH(S$5,0))))&lt;=S$6)*(MOD((YEAR(S$5)-YEAR($F14))*12+MONTH(S$5)-MONTH($F14),1)=0)+(MONTH(S$6)&lt;&gt;MONTH(S$5))*(DATE(YEAR(S$6),MONTH(S$6),MIN(DAY($F14),DAY(EOMONTH(S$6,0))))&gt;=$F14)*(DATE(YEAR(S$6),MONTH(S$6),MIN(DAY($F14),DAY(EOMONTH(S$6,0))))&gt;=S$5)*(DATE(YEAR(S$6),MONTH(S$6),MIN(DAY($F14),DAY(EOMONTH(S$6,0))))&lt;=S$6)*(MOD((YEAR(S$6)-YEAR($F14))*12+MONTH(S$6)-MONTH($F14),1)=0)),IF($D14="Quarterly",((DATE(YEAR(S$5),MONTH(S$5),MIN(DAY($F14),DAY(EOMONTH(S$5,0))))&gt;=MAX(S$5,$F14))*(DATE(YEAR(S$5),MONTH(S$5),MIN(DAY($F14),DAY(EOMONTH(S$5,0))))&lt;=S$6)*(MOD((YEAR(S$5)-YEAR($F14))*12+MONTH(S$5)-MONTH($F14),3)=0)+(MONTH(S$6)&lt;&gt;MONTH(S$5))*(DATE(YEAR(S$6),MONTH(S$6),MIN(DAY($F14),DAY(EOMONTH(S$6,0))))&gt;=$F14)*(DATE(YEAR(S$6),MONTH(S$6),MIN(DAY($F14),DAY(EOMONTH(S$6,0))))&gt;=S$5)*(DATE(YEAR(S$6),MONTH(S$6),MIN(DAY($F14),DAY(EOMONTH(S$6,0))))&lt;=S$6)*(MOD((YEAR(S$6)-YEAR($F14))*12+MONTH(S$6)-MONTH($F14),3)=0)),IF($D14="One-off",($F14&gt;=S$5)*($F14&lt;=S$6),0))))))</f>
        <v>0</v>
      </c>
      <c r="T14" s="19">
        <f>IF(OR($E14="",$F14="",$D14=""),0,IF(OR($C14="Loan and finance repayments",$C14="VAT and taxes",$C14="Capital expenditure",$C14="Licences and regulatory fees"),1,1+CostAdj)*$E14*IF($D14="Weekly",(MAX(0,INT((T$6-$F14)/7)+1)-MAX(0,INT((T$5-1-$F14)/7)+1)),IF($D14="Fortnightly",(MAX(0,INT((T$6-$F14)/14)+1)-MAX(0,INT((T$5-1-$F14)/14)+1)),IF($D14="Monthly",((DATE(YEAR(T$5),MONTH(T$5),MIN(DAY($F14),DAY(EOMONTH(T$5,0))))&gt;=MAX(T$5,$F14))*(DATE(YEAR(T$5),MONTH(T$5),MIN(DAY($F14),DAY(EOMONTH(T$5,0))))&lt;=T$6)*(MOD((YEAR(T$5)-YEAR($F14))*12+MONTH(T$5)-MONTH($F14),1)=0)+(MONTH(T$6)&lt;&gt;MONTH(T$5))*(DATE(YEAR(T$6),MONTH(T$6),MIN(DAY($F14),DAY(EOMONTH(T$6,0))))&gt;=$F14)*(DATE(YEAR(T$6),MONTH(T$6),MIN(DAY($F14),DAY(EOMONTH(T$6,0))))&gt;=T$5)*(DATE(YEAR(T$6),MONTH(T$6),MIN(DAY($F14),DAY(EOMONTH(T$6,0))))&lt;=T$6)*(MOD((YEAR(T$6)-YEAR($F14))*12+MONTH(T$6)-MONTH($F14),1)=0)),IF($D14="Quarterly",((DATE(YEAR(T$5),MONTH(T$5),MIN(DAY($F14),DAY(EOMONTH(T$5,0))))&gt;=MAX(T$5,$F14))*(DATE(YEAR(T$5),MONTH(T$5),MIN(DAY($F14),DAY(EOMONTH(T$5,0))))&lt;=T$6)*(MOD((YEAR(T$5)-YEAR($F14))*12+MONTH(T$5)-MONTH($F14),3)=0)+(MONTH(T$6)&lt;&gt;MONTH(T$5))*(DATE(YEAR(T$6),MONTH(T$6),MIN(DAY($F14),DAY(EOMONTH(T$6,0))))&gt;=$F14)*(DATE(YEAR(T$6),MONTH(T$6),MIN(DAY($F14),DAY(EOMONTH(T$6,0))))&gt;=T$5)*(DATE(YEAR(T$6),MONTH(T$6),MIN(DAY($F14),DAY(EOMONTH(T$6,0))))&lt;=T$6)*(MOD((YEAR(T$6)-YEAR($F14))*12+MONTH(T$6)-MONTH($F14),3)=0)),IF($D14="One-off",($F14&gt;=T$5)*($F14&lt;=T$6),0))))))</f>
        <v>0</v>
      </c>
      <c r="U14" s="36">
        <f>SUM(H14:T14)</f>
        <v>11400</v>
      </c>
    </row>
    <row r="15" spans="1:21">
      <c r="A15" s="42">
        <v>7</v>
      </c>
      <c r="B15" s="7" t="s">
        <v>135</v>
      </c>
      <c r="C15" s="7" t="s">
        <v>4</v>
      </c>
      <c r="D15" s="7" t="s">
        <v>15</v>
      </c>
      <c r="E15" s="18">
        <v>18000</v>
      </c>
      <c r="F15" s="17">
        <v>46302</v>
      </c>
      <c r="G15" s="7"/>
      <c r="H15" s="19">
        <f>IF(OR($E15="",$F15="",$D15=""),0,IF(OR($C15="Loan and finance repayments",$C15="VAT and taxes",$C15="Capital expenditure",$C15="Licences and regulatory fees"),1,1+CostAdj)*$E15*IF($D15="Weekly",(MAX(0,INT((H$6-$F15)/7)+1)-MAX(0,INT((H$5-1-$F15)/7)+1)),IF($D15="Fortnightly",(MAX(0,INT((H$6-$F15)/14)+1)-MAX(0,INT((H$5-1-$F15)/14)+1)),IF($D15="Monthly",((DATE(YEAR(H$5),MONTH(H$5),MIN(DAY($F15),DAY(EOMONTH(H$5,0))))&gt;=MAX(H$5,$F15))*(DATE(YEAR(H$5),MONTH(H$5),MIN(DAY($F15),DAY(EOMONTH(H$5,0))))&lt;=H$6)*(MOD((YEAR(H$5)-YEAR($F15))*12+MONTH(H$5)-MONTH($F15),1)=0)+(MONTH(H$6)&lt;&gt;MONTH(H$5))*(DATE(YEAR(H$6),MONTH(H$6),MIN(DAY($F15),DAY(EOMONTH(H$6,0))))&gt;=$F15)*(DATE(YEAR(H$6),MONTH(H$6),MIN(DAY($F15),DAY(EOMONTH(H$6,0))))&gt;=H$5)*(DATE(YEAR(H$6),MONTH(H$6),MIN(DAY($F15),DAY(EOMONTH(H$6,0))))&lt;=H$6)*(MOD((YEAR(H$6)-YEAR($F15))*12+MONTH(H$6)-MONTH($F15),1)=0)),IF($D15="Quarterly",((DATE(YEAR(H$5),MONTH(H$5),MIN(DAY($F15),DAY(EOMONTH(H$5,0))))&gt;=MAX(H$5,$F15))*(DATE(YEAR(H$5),MONTH(H$5),MIN(DAY($F15),DAY(EOMONTH(H$5,0))))&lt;=H$6)*(MOD((YEAR(H$5)-YEAR($F15))*12+MONTH(H$5)-MONTH($F15),3)=0)+(MONTH(H$6)&lt;&gt;MONTH(H$5))*(DATE(YEAR(H$6),MONTH(H$6),MIN(DAY($F15),DAY(EOMONTH(H$6,0))))&gt;=$F15)*(DATE(YEAR(H$6),MONTH(H$6),MIN(DAY($F15),DAY(EOMONTH(H$6,0))))&gt;=H$5)*(DATE(YEAR(H$6),MONTH(H$6),MIN(DAY($F15),DAY(EOMONTH(H$6,0))))&lt;=H$6)*(MOD((YEAR(H$6)-YEAR($F15))*12+MONTH(H$6)-MONTH($F15),3)=0)),IF($D15="One-off",($F15&gt;=H$5)*($F15&lt;=H$6),0))))))</f>
        <v>18000</v>
      </c>
      <c r="I15" s="19">
        <f>IF(OR($E15="",$F15="",$D15=""),0,IF(OR($C15="Loan and finance repayments",$C15="VAT and taxes",$C15="Capital expenditure",$C15="Licences and regulatory fees"),1,1+CostAdj)*$E15*IF($D15="Weekly",(MAX(0,INT((I$6-$F15)/7)+1)-MAX(0,INT((I$5-1-$F15)/7)+1)),IF($D15="Fortnightly",(MAX(0,INT((I$6-$F15)/14)+1)-MAX(0,INT((I$5-1-$F15)/14)+1)),IF($D15="Monthly",((DATE(YEAR(I$5),MONTH(I$5),MIN(DAY($F15),DAY(EOMONTH(I$5,0))))&gt;=MAX(I$5,$F15))*(DATE(YEAR(I$5),MONTH(I$5),MIN(DAY($F15),DAY(EOMONTH(I$5,0))))&lt;=I$6)*(MOD((YEAR(I$5)-YEAR($F15))*12+MONTH(I$5)-MONTH($F15),1)=0)+(MONTH(I$6)&lt;&gt;MONTH(I$5))*(DATE(YEAR(I$6),MONTH(I$6),MIN(DAY($F15),DAY(EOMONTH(I$6,0))))&gt;=$F15)*(DATE(YEAR(I$6),MONTH(I$6),MIN(DAY($F15),DAY(EOMONTH(I$6,0))))&gt;=I$5)*(DATE(YEAR(I$6),MONTH(I$6),MIN(DAY($F15),DAY(EOMONTH(I$6,0))))&lt;=I$6)*(MOD((YEAR(I$6)-YEAR($F15))*12+MONTH(I$6)-MONTH($F15),1)=0)),IF($D15="Quarterly",((DATE(YEAR(I$5),MONTH(I$5),MIN(DAY($F15),DAY(EOMONTH(I$5,0))))&gt;=MAX(I$5,$F15))*(DATE(YEAR(I$5),MONTH(I$5),MIN(DAY($F15),DAY(EOMONTH(I$5,0))))&lt;=I$6)*(MOD((YEAR(I$5)-YEAR($F15))*12+MONTH(I$5)-MONTH($F15),3)=0)+(MONTH(I$6)&lt;&gt;MONTH(I$5))*(DATE(YEAR(I$6),MONTH(I$6),MIN(DAY($F15),DAY(EOMONTH(I$6,0))))&gt;=$F15)*(DATE(YEAR(I$6),MONTH(I$6),MIN(DAY($F15),DAY(EOMONTH(I$6,0))))&gt;=I$5)*(DATE(YEAR(I$6),MONTH(I$6),MIN(DAY($F15),DAY(EOMONTH(I$6,0))))&lt;=I$6)*(MOD((YEAR(I$6)-YEAR($F15))*12+MONTH(I$6)-MONTH($F15),3)=0)),IF($D15="One-off",($F15&gt;=I$5)*($F15&lt;=I$6),0))))))</f>
        <v>0</v>
      </c>
      <c r="J15" s="19">
        <f>IF(OR($E15="",$F15="",$D15=""),0,IF(OR($C15="Loan and finance repayments",$C15="VAT and taxes",$C15="Capital expenditure",$C15="Licences and regulatory fees"),1,1+CostAdj)*$E15*IF($D15="Weekly",(MAX(0,INT((J$6-$F15)/7)+1)-MAX(0,INT((J$5-1-$F15)/7)+1)),IF($D15="Fortnightly",(MAX(0,INT((J$6-$F15)/14)+1)-MAX(0,INT((J$5-1-$F15)/14)+1)),IF($D15="Monthly",((DATE(YEAR(J$5),MONTH(J$5),MIN(DAY($F15),DAY(EOMONTH(J$5,0))))&gt;=MAX(J$5,$F15))*(DATE(YEAR(J$5),MONTH(J$5),MIN(DAY($F15),DAY(EOMONTH(J$5,0))))&lt;=J$6)*(MOD((YEAR(J$5)-YEAR($F15))*12+MONTH(J$5)-MONTH($F15),1)=0)+(MONTH(J$6)&lt;&gt;MONTH(J$5))*(DATE(YEAR(J$6),MONTH(J$6),MIN(DAY($F15),DAY(EOMONTH(J$6,0))))&gt;=$F15)*(DATE(YEAR(J$6),MONTH(J$6),MIN(DAY($F15),DAY(EOMONTH(J$6,0))))&gt;=J$5)*(DATE(YEAR(J$6),MONTH(J$6),MIN(DAY($F15),DAY(EOMONTH(J$6,0))))&lt;=J$6)*(MOD((YEAR(J$6)-YEAR($F15))*12+MONTH(J$6)-MONTH($F15),1)=0)),IF($D15="Quarterly",((DATE(YEAR(J$5),MONTH(J$5),MIN(DAY($F15),DAY(EOMONTH(J$5,0))))&gt;=MAX(J$5,$F15))*(DATE(YEAR(J$5),MONTH(J$5),MIN(DAY($F15),DAY(EOMONTH(J$5,0))))&lt;=J$6)*(MOD((YEAR(J$5)-YEAR($F15))*12+MONTH(J$5)-MONTH($F15),3)=0)+(MONTH(J$6)&lt;&gt;MONTH(J$5))*(DATE(YEAR(J$6),MONTH(J$6),MIN(DAY($F15),DAY(EOMONTH(J$6,0))))&gt;=$F15)*(DATE(YEAR(J$6),MONTH(J$6),MIN(DAY($F15),DAY(EOMONTH(J$6,0))))&gt;=J$5)*(DATE(YEAR(J$6),MONTH(J$6),MIN(DAY($F15),DAY(EOMONTH(J$6,0))))&lt;=J$6)*(MOD((YEAR(J$6)-YEAR($F15))*12+MONTH(J$6)-MONTH($F15),3)=0)),IF($D15="One-off",($F15&gt;=J$5)*($F15&lt;=J$6),0))))))</f>
        <v>0</v>
      </c>
      <c r="K15" s="19">
        <f>IF(OR($E15="",$F15="",$D15=""),0,IF(OR($C15="Loan and finance repayments",$C15="VAT and taxes",$C15="Capital expenditure",$C15="Licences and regulatory fees"),1,1+CostAdj)*$E15*IF($D15="Weekly",(MAX(0,INT((K$6-$F15)/7)+1)-MAX(0,INT((K$5-1-$F15)/7)+1)),IF($D15="Fortnightly",(MAX(0,INT((K$6-$F15)/14)+1)-MAX(0,INT((K$5-1-$F15)/14)+1)),IF($D15="Monthly",((DATE(YEAR(K$5),MONTH(K$5),MIN(DAY($F15),DAY(EOMONTH(K$5,0))))&gt;=MAX(K$5,$F15))*(DATE(YEAR(K$5),MONTH(K$5),MIN(DAY($F15),DAY(EOMONTH(K$5,0))))&lt;=K$6)*(MOD((YEAR(K$5)-YEAR($F15))*12+MONTH(K$5)-MONTH($F15),1)=0)+(MONTH(K$6)&lt;&gt;MONTH(K$5))*(DATE(YEAR(K$6),MONTH(K$6),MIN(DAY($F15),DAY(EOMONTH(K$6,0))))&gt;=$F15)*(DATE(YEAR(K$6),MONTH(K$6),MIN(DAY($F15),DAY(EOMONTH(K$6,0))))&gt;=K$5)*(DATE(YEAR(K$6),MONTH(K$6),MIN(DAY($F15),DAY(EOMONTH(K$6,0))))&lt;=K$6)*(MOD((YEAR(K$6)-YEAR($F15))*12+MONTH(K$6)-MONTH($F15),1)=0)),IF($D15="Quarterly",((DATE(YEAR(K$5),MONTH(K$5),MIN(DAY($F15),DAY(EOMONTH(K$5,0))))&gt;=MAX(K$5,$F15))*(DATE(YEAR(K$5),MONTH(K$5),MIN(DAY($F15),DAY(EOMONTH(K$5,0))))&lt;=K$6)*(MOD((YEAR(K$5)-YEAR($F15))*12+MONTH(K$5)-MONTH($F15),3)=0)+(MONTH(K$6)&lt;&gt;MONTH(K$5))*(DATE(YEAR(K$6),MONTH(K$6),MIN(DAY($F15),DAY(EOMONTH(K$6,0))))&gt;=$F15)*(DATE(YEAR(K$6),MONTH(K$6),MIN(DAY($F15),DAY(EOMONTH(K$6,0))))&gt;=K$5)*(DATE(YEAR(K$6),MONTH(K$6),MIN(DAY($F15),DAY(EOMONTH(K$6,0))))&lt;=K$6)*(MOD((YEAR(K$6)-YEAR($F15))*12+MONTH(K$6)-MONTH($F15),3)=0)),IF($D15="One-off",($F15&gt;=K$5)*($F15&lt;=K$6),0))))))</f>
        <v>0</v>
      </c>
      <c r="L15" s="19">
        <f>IF(OR($E15="",$F15="",$D15=""),0,IF(OR($C15="Loan and finance repayments",$C15="VAT and taxes",$C15="Capital expenditure",$C15="Licences and regulatory fees"),1,1+CostAdj)*$E15*IF($D15="Weekly",(MAX(0,INT((L$6-$F15)/7)+1)-MAX(0,INT((L$5-1-$F15)/7)+1)),IF($D15="Fortnightly",(MAX(0,INT((L$6-$F15)/14)+1)-MAX(0,INT((L$5-1-$F15)/14)+1)),IF($D15="Monthly",((DATE(YEAR(L$5),MONTH(L$5),MIN(DAY($F15),DAY(EOMONTH(L$5,0))))&gt;=MAX(L$5,$F15))*(DATE(YEAR(L$5),MONTH(L$5),MIN(DAY($F15),DAY(EOMONTH(L$5,0))))&lt;=L$6)*(MOD((YEAR(L$5)-YEAR($F15))*12+MONTH(L$5)-MONTH($F15),1)=0)+(MONTH(L$6)&lt;&gt;MONTH(L$5))*(DATE(YEAR(L$6),MONTH(L$6),MIN(DAY($F15),DAY(EOMONTH(L$6,0))))&gt;=$F15)*(DATE(YEAR(L$6),MONTH(L$6),MIN(DAY($F15),DAY(EOMONTH(L$6,0))))&gt;=L$5)*(DATE(YEAR(L$6),MONTH(L$6),MIN(DAY($F15),DAY(EOMONTH(L$6,0))))&lt;=L$6)*(MOD((YEAR(L$6)-YEAR($F15))*12+MONTH(L$6)-MONTH($F15),1)=0)),IF($D15="Quarterly",((DATE(YEAR(L$5),MONTH(L$5),MIN(DAY($F15),DAY(EOMONTH(L$5,0))))&gt;=MAX(L$5,$F15))*(DATE(YEAR(L$5),MONTH(L$5),MIN(DAY($F15),DAY(EOMONTH(L$5,0))))&lt;=L$6)*(MOD((YEAR(L$5)-YEAR($F15))*12+MONTH(L$5)-MONTH($F15),3)=0)+(MONTH(L$6)&lt;&gt;MONTH(L$5))*(DATE(YEAR(L$6),MONTH(L$6),MIN(DAY($F15),DAY(EOMONTH(L$6,0))))&gt;=$F15)*(DATE(YEAR(L$6),MONTH(L$6),MIN(DAY($F15),DAY(EOMONTH(L$6,0))))&gt;=L$5)*(DATE(YEAR(L$6),MONTH(L$6),MIN(DAY($F15),DAY(EOMONTH(L$6,0))))&lt;=L$6)*(MOD((YEAR(L$6)-YEAR($F15))*12+MONTH(L$6)-MONTH($F15),3)=0)),IF($D15="One-off",($F15&gt;=L$5)*($F15&lt;=L$6),0))))))</f>
        <v>18000</v>
      </c>
      <c r="M15" s="19">
        <f>IF(OR($E15="",$F15="",$D15=""),0,IF(OR($C15="Loan and finance repayments",$C15="VAT and taxes",$C15="Capital expenditure",$C15="Licences and regulatory fees"),1,1+CostAdj)*$E15*IF($D15="Weekly",(MAX(0,INT((M$6-$F15)/7)+1)-MAX(0,INT((M$5-1-$F15)/7)+1)),IF($D15="Fortnightly",(MAX(0,INT((M$6-$F15)/14)+1)-MAX(0,INT((M$5-1-$F15)/14)+1)),IF($D15="Monthly",((DATE(YEAR(M$5),MONTH(M$5),MIN(DAY($F15),DAY(EOMONTH(M$5,0))))&gt;=MAX(M$5,$F15))*(DATE(YEAR(M$5),MONTH(M$5),MIN(DAY($F15),DAY(EOMONTH(M$5,0))))&lt;=M$6)*(MOD((YEAR(M$5)-YEAR($F15))*12+MONTH(M$5)-MONTH($F15),1)=0)+(MONTH(M$6)&lt;&gt;MONTH(M$5))*(DATE(YEAR(M$6),MONTH(M$6),MIN(DAY($F15),DAY(EOMONTH(M$6,0))))&gt;=$F15)*(DATE(YEAR(M$6),MONTH(M$6),MIN(DAY($F15),DAY(EOMONTH(M$6,0))))&gt;=M$5)*(DATE(YEAR(M$6),MONTH(M$6),MIN(DAY($F15),DAY(EOMONTH(M$6,0))))&lt;=M$6)*(MOD((YEAR(M$6)-YEAR($F15))*12+MONTH(M$6)-MONTH($F15),1)=0)),IF($D15="Quarterly",((DATE(YEAR(M$5),MONTH(M$5),MIN(DAY($F15),DAY(EOMONTH(M$5,0))))&gt;=MAX(M$5,$F15))*(DATE(YEAR(M$5),MONTH(M$5),MIN(DAY($F15),DAY(EOMONTH(M$5,0))))&lt;=M$6)*(MOD((YEAR(M$5)-YEAR($F15))*12+MONTH(M$5)-MONTH($F15),3)=0)+(MONTH(M$6)&lt;&gt;MONTH(M$5))*(DATE(YEAR(M$6),MONTH(M$6),MIN(DAY($F15),DAY(EOMONTH(M$6,0))))&gt;=$F15)*(DATE(YEAR(M$6),MONTH(M$6),MIN(DAY($F15),DAY(EOMONTH(M$6,0))))&gt;=M$5)*(DATE(YEAR(M$6),MONTH(M$6),MIN(DAY($F15),DAY(EOMONTH(M$6,0))))&lt;=M$6)*(MOD((YEAR(M$6)-YEAR($F15))*12+MONTH(M$6)-MONTH($F15),3)=0)),IF($D15="One-off",($F15&gt;=M$5)*($F15&lt;=M$6),0))))))</f>
        <v>0</v>
      </c>
      <c r="N15" s="19">
        <f>IF(OR($E15="",$F15="",$D15=""),0,IF(OR($C15="Loan and finance repayments",$C15="VAT and taxes",$C15="Capital expenditure",$C15="Licences and regulatory fees"),1,1+CostAdj)*$E15*IF($D15="Weekly",(MAX(0,INT((N$6-$F15)/7)+1)-MAX(0,INT((N$5-1-$F15)/7)+1)),IF($D15="Fortnightly",(MAX(0,INT((N$6-$F15)/14)+1)-MAX(0,INT((N$5-1-$F15)/14)+1)),IF($D15="Monthly",((DATE(YEAR(N$5),MONTH(N$5),MIN(DAY($F15),DAY(EOMONTH(N$5,0))))&gt;=MAX(N$5,$F15))*(DATE(YEAR(N$5),MONTH(N$5),MIN(DAY($F15),DAY(EOMONTH(N$5,0))))&lt;=N$6)*(MOD((YEAR(N$5)-YEAR($F15))*12+MONTH(N$5)-MONTH($F15),1)=0)+(MONTH(N$6)&lt;&gt;MONTH(N$5))*(DATE(YEAR(N$6),MONTH(N$6),MIN(DAY($F15),DAY(EOMONTH(N$6,0))))&gt;=$F15)*(DATE(YEAR(N$6),MONTH(N$6),MIN(DAY($F15),DAY(EOMONTH(N$6,0))))&gt;=N$5)*(DATE(YEAR(N$6),MONTH(N$6),MIN(DAY($F15),DAY(EOMONTH(N$6,0))))&lt;=N$6)*(MOD((YEAR(N$6)-YEAR($F15))*12+MONTH(N$6)-MONTH($F15),1)=0)),IF($D15="Quarterly",((DATE(YEAR(N$5),MONTH(N$5),MIN(DAY($F15),DAY(EOMONTH(N$5,0))))&gt;=MAX(N$5,$F15))*(DATE(YEAR(N$5),MONTH(N$5),MIN(DAY($F15),DAY(EOMONTH(N$5,0))))&lt;=N$6)*(MOD((YEAR(N$5)-YEAR($F15))*12+MONTH(N$5)-MONTH($F15),3)=0)+(MONTH(N$6)&lt;&gt;MONTH(N$5))*(DATE(YEAR(N$6),MONTH(N$6),MIN(DAY($F15),DAY(EOMONTH(N$6,0))))&gt;=$F15)*(DATE(YEAR(N$6),MONTH(N$6),MIN(DAY($F15),DAY(EOMONTH(N$6,0))))&gt;=N$5)*(DATE(YEAR(N$6),MONTH(N$6),MIN(DAY($F15),DAY(EOMONTH(N$6,0))))&lt;=N$6)*(MOD((YEAR(N$6)-YEAR($F15))*12+MONTH(N$6)-MONTH($F15),3)=0)),IF($D15="One-off",($F15&gt;=N$5)*($F15&lt;=N$6),0))))))</f>
        <v>0</v>
      </c>
      <c r="O15" s="19">
        <f>IF(OR($E15="",$F15="",$D15=""),0,IF(OR($C15="Loan and finance repayments",$C15="VAT and taxes",$C15="Capital expenditure",$C15="Licences and regulatory fees"),1,1+CostAdj)*$E15*IF($D15="Weekly",(MAX(0,INT((O$6-$F15)/7)+1)-MAX(0,INT((O$5-1-$F15)/7)+1)),IF($D15="Fortnightly",(MAX(0,INT((O$6-$F15)/14)+1)-MAX(0,INT((O$5-1-$F15)/14)+1)),IF($D15="Monthly",((DATE(YEAR(O$5),MONTH(O$5),MIN(DAY($F15),DAY(EOMONTH(O$5,0))))&gt;=MAX(O$5,$F15))*(DATE(YEAR(O$5),MONTH(O$5),MIN(DAY($F15),DAY(EOMONTH(O$5,0))))&lt;=O$6)*(MOD((YEAR(O$5)-YEAR($F15))*12+MONTH(O$5)-MONTH($F15),1)=0)+(MONTH(O$6)&lt;&gt;MONTH(O$5))*(DATE(YEAR(O$6),MONTH(O$6),MIN(DAY($F15),DAY(EOMONTH(O$6,0))))&gt;=$F15)*(DATE(YEAR(O$6),MONTH(O$6),MIN(DAY($F15),DAY(EOMONTH(O$6,0))))&gt;=O$5)*(DATE(YEAR(O$6),MONTH(O$6),MIN(DAY($F15),DAY(EOMONTH(O$6,0))))&lt;=O$6)*(MOD((YEAR(O$6)-YEAR($F15))*12+MONTH(O$6)-MONTH($F15),1)=0)),IF($D15="Quarterly",((DATE(YEAR(O$5),MONTH(O$5),MIN(DAY($F15),DAY(EOMONTH(O$5,0))))&gt;=MAX(O$5,$F15))*(DATE(YEAR(O$5),MONTH(O$5),MIN(DAY($F15),DAY(EOMONTH(O$5,0))))&lt;=O$6)*(MOD((YEAR(O$5)-YEAR($F15))*12+MONTH(O$5)-MONTH($F15),3)=0)+(MONTH(O$6)&lt;&gt;MONTH(O$5))*(DATE(YEAR(O$6),MONTH(O$6),MIN(DAY($F15),DAY(EOMONTH(O$6,0))))&gt;=$F15)*(DATE(YEAR(O$6),MONTH(O$6),MIN(DAY($F15),DAY(EOMONTH(O$6,0))))&gt;=O$5)*(DATE(YEAR(O$6),MONTH(O$6),MIN(DAY($F15),DAY(EOMONTH(O$6,0))))&lt;=O$6)*(MOD((YEAR(O$6)-YEAR($F15))*12+MONTH(O$6)-MONTH($F15),3)=0)),IF($D15="One-off",($F15&gt;=O$5)*($F15&lt;=O$6),0))))))</f>
        <v>0</v>
      </c>
      <c r="P15" s="19">
        <f>IF(OR($E15="",$F15="",$D15=""),0,IF(OR($C15="Loan and finance repayments",$C15="VAT and taxes",$C15="Capital expenditure",$C15="Licences and regulatory fees"),1,1+CostAdj)*$E15*IF($D15="Weekly",(MAX(0,INT((P$6-$F15)/7)+1)-MAX(0,INT((P$5-1-$F15)/7)+1)),IF($D15="Fortnightly",(MAX(0,INT((P$6-$F15)/14)+1)-MAX(0,INT((P$5-1-$F15)/14)+1)),IF($D15="Monthly",((DATE(YEAR(P$5),MONTH(P$5),MIN(DAY($F15),DAY(EOMONTH(P$5,0))))&gt;=MAX(P$5,$F15))*(DATE(YEAR(P$5),MONTH(P$5),MIN(DAY($F15),DAY(EOMONTH(P$5,0))))&lt;=P$6)*(MOD((YEAR(P$5)-YEAR($F15))*12+MONTH(P$5)-MONTH($F15),1)=0)+(MONTH(P$6)&lt;&gt;MONTH(P$5))*(DATE(YEAR(P$6),MONTH(P$6),MIN(DAY($F15),DAY(EOMONTH(P$6,0))))&gt;=$F15)*(DATE(YEAR(P$6),MONTH(P$6),MIN(DAY($F15),DAY(EOMONTH(P$6,0))))&gt;=P$5)*(DATE(YEAR(P$6),MONTH(P$6),MIN(DAY($F15),DAY(EOMONTH(P$6,0))))&lt;=P$6)*(MOD((YEAR(P$6)-YEAR($F15))*12+MONTH(P$6)-MONTH($F15),1)=0)),IF($D15="Quarterly",((DATE(YEAR(P$5),MONTH(P$5),MIN(DAY($F15),DAY(EOMONTH(P$5,0))))&gt;=MAX(P$5,$F15))*(DATE(YEAR(P$5),MONTH(P$5),MIN(DAY($F15),DAY(EOMONTH(P$5,0))))&lt;=P$6)*(MOD((YEAR(P$5)-YEAR($F15))*12+MONTH(P$5)-MONTH($F15),3)=0)+(MONTH(P$6)&lt;&gt;MONTH(P$5))*(DATE(YEAR(P$6),MONTH(P$6),MIN(DAY($F15),DAY(EOMONTH(P$6,0))))&gt;=$F15)*(DATE(YEAR(P$6),MONTH(P$6),MIN(DAY($F15),DAY(EOMONTH(P$6,0))))&gt;=P$5)*(DATE(YEAR(P$6),MONTH(P$6),MIN(DAY($F15),DAY(EOMONTH(P$6,0))))&lt;=P$6)*(MOD((YEAR(P$6)-YEAR($F15))*12+MONTH(P$6)-MONTH($F15),3)=0)),IF($D15="One-off",($F15&gt;=P$5)*($F15&lt;=P$6),0))))))</f>
        <v>0</v>
      </c>
      <c r="Q15" s="19">
        <f>IF(OR($E15="",$F15="",$D15=""),0,IF(OR($C15="Loan and finance repayments",$C15="VAT and taxes",$C15="Capital expenditure",$C15="Licences and regulatory fees"),1,1+CostAdj)*$E15*IF($D15="Weekly",(MAX(0,INT((Q$6-$F15)/7)+1)-MAX(0,INT((Q$5-1-$F15)/7)+1)),IF($D15="Fortnightly",(MAX(0,INT((Q$6-$F15)/14)+1)-MAX(0,INT((Q$5-1-$F15)/14)+1)),IF($D15="Monthly",((DATE(YEAR(Q$5),MONTH(Q$5),MIN(DAY($F15),DAY(EOMONTH(Q$5,0))))&gt;=MAX(Q$5,$F15))*(DATE(YEAR(Q$5),MONTH(Q$5),MIN(DAY($F15),DAY(EOMONTH(Q$5,0))))&lt;=Q$6)*(MOD((YEAR(Q$5)-YEAR($F15))*12+MONTH(Q$5)-MONTH($F15),1)=0)+(MONTH(Q$6)&lt;&gt;MONTH(Q$5))*(DATE(YEAR(Q$6),MONTH(Q$6),MIN(DAY($F15),DAY(EOMONTH(Q$6,0))))&gt;=$F15)*(DATE(YEAR(Q$6),MONTH(Q$6),MIN(DAY($F15),DAY(EOMONTH(Q$6,0))))&gt;=Q$5)*(DATE(YEAR(Q$6),MONTH(Q$6),MIN(DAY($F15),DAY(EOMONTH(Q$6,0))))&lt;=Q$6)*(MOD((YEAR(Q$6)-YEAR($F15))*12+MONTH(Q$6)-MONTH($F15),1)=0)),IF($D15="Quarterly",((DATE(YEAR(Q$5),MONTH(Q$5),MIN(DAY($F15),DAY(EOMONTH(Q$5,0))))&gt;=MAX(Q$5,$F15))*(DATE(YEAR(Q$5),MONTH(Q$5),MIN(DAY($F15),DAY(EOMONTH(Q$5,0))))&lt;=Q$6)*(MOD((YEAR(Q$5)-YEAR($F15))*12+MONTH(Q$5)-MONTH($F15),3)=0)+(MONTH(Q$6)&lt;&gt;MONTH(Q$5))*(DATE(YEAR(Q$6),MONTH(Q$6),MIN(DAY($F15),DAY(EOMONTH(Q$6,0))))&gt;=$F15)*(DATE(YEAR(Q$6),MONTH(Q$6),MIN(DAY($F15),DAY(EOMONTH(Q$6,0))))&gt;=Q$5)*(DATE(YEAR(Q$6),MONTH(Q$6),MIN(DAY($F15),DAY(EOMONTH(Q$6,0))))&lt;=Q$6)*(MOD((YEAR(Q$6)-YEAR($F15))*12+MONTH(Q$6)-MONTH($F15),3)=0)),IF($D15="One-off",($F15&gt;=Q$5)*($F15&lt;=Q$6),0))))))</f>
        <v>18000</v>
      </c>
      <c r="R15" s="19">
        <f>IF(OR($E15="",$F15="",$D15=""),0,IF(OR($C15="Loan and finance repayments",$C15="VAT and taxes",$C15="Capital expenditure",$C15="Licences and regulatory fees"),1,1+CostAdj)*$E15*IF($D15="Weekly",(MAX(0,INT((R$6-$F15)/7)+1)-MAX(0,INT((R$5-1-$F15)/7)+1)),IF($D15="Fortnightly",(MAX(0,INT((R$6-$F15)/14)+1)-MAX(0,INT((R$5-1-$F15)/14)+1)),IF($D15="Monthly",((DATE(YEAR(R$5),MONTH(R$5),MIN(DAY($F15),DAY(EOMONTH(R$5,0))))&gt;=MAX(R$5,$F15))*(DATE(YEAR(R$5),MONTH(R$5),MIN(DAY($F15),DAY(EOMONTH(R$5,0))))&lt;=R$6)*(MOD((YEAR(R$5)-YEAR($F15))*12+MONTH(R$5)-MONTH($F15),1)=0)+(MONTH(R$6)&lt;&gt;MONTH(R$5))*(DATE(YEAR(R$6),MONTH(R$6),MIN(DAY($F15),DAY(EOMONTH(R$6,0))))&gt;=$F15)*(DATE(YEAR(R$6),MONTH(R$6),MIN(DAY($F15),DAY(EOMONTH(R$6,0))))&gt;=R$5)*(DATE(YEAR(R$6),MONTH(R$6),MIN(DAY($F15),DAY(EOMONTH(R$6,0))))&lt;=R$6)*(MOD((YEAR(R$6)-YEAR($F15))*12+MONTH(R$6)-MONTH($F15),1)=0)),IF($D15="Quarterly",((DATE(YEAR(R$5),MONTH(R$5),MIN(DAY($F15),DAY(EOMONTH(R$5,0))))&gt;=MAX(R$5,$F15))*(DATE(YEAR(R$5),MONTH(R$5),MIN(DAY($F15),DAY(EOMONTH(R$5,0))))&lt;=R$6)*(MOD((YEAR(R$5)-YEAR($F15))*12+MONTH(R$5)-MONTH($F15),3)=0)+(MONTH(R$6)&lt;&gt;MONTH(R$5))*(DATE(YEAR(R$6),MONTH(R$6),MIN(DAY($F15),DAY(EOMONTH(R$6,0))))&gt;=$F15)*(DATE(YEAR(R$6),MONTH(R$6),MIN(DAY($F15),DAY(EOMONTH(R$6,0))))&gt;=R$5)*(DATE(YEAR(R$6),MONTH(R$6),MIN(DAY($F15),DAY(EOMONTH(R$6,0))))&lt;=R$6)*(MOD((YEAR(R$6)-YEAR($F15))*12+MONTH(R$6)-MONTH($F15),3)=0)),IF($D15="One-off",($F15&gt;=R$5)*($F15&lt;=R$6),0))))))</f>
        <v>0</v>
      </c>
      <c r="S15" s="19">
        <f>IF(OR($E15="",$F15="",$D15=""),0,IF(OR($C15="Loan and finance repayments",$C15="VAT and taxes",$C15="Capital expenditure",$C15="Licences and regulatory fees"),1,1+CostAdj)*$E15*IF($D15="Weekly",(MAX(0,INT((S$6-$F15)/7)+1)-MAX(0,INT((S$5-1-$F15)/7)+1)),IF($D15="Fortnightly",(MAX(0,INT((S$6-$F15)/14)+1)-MAX(0,INT((S$5-1-$F15)/14)+1)),IF($D15="Monthly",((DATE(YEAR(S$5),MONTH(S$5),MIN(DAY($F15),DAY(EOMONTH(S$5,0))))&gt;=MAX(S$5,$F15))*(DATE(YEAR(S$5),MONTH(S$5),MIN(DAY($F15),DAY(EOMONTH(S$5,0))))&lt;=S$6)*(MOD((YEAR(S$5)-YEAR($F15))*12+MONTH(S$5)-MONTH($F15),1)=0)+(MONTH(S$6)&lt;&gt;MONTH(S$5))*(DATE(YEAR(S$6),MONTH(S$6),MIN(DAY($F15),DAY(EOMONTH(S$6,0))))&gt;=$F15)*(DATE(YEAR(S$6),MONTH(S$6),MIN(DAY($F15),DAY(EOMONTH(S$6,0))))&gt;=S$5)*(DATE(YEAR(S$6),MONTH(S$6),MIN(DAY($F15),DAY(EOMONTH(S$6,0))))&lt;=S$6)*(MOD((YEAR(S$6)-YEAR($F15))*12+MONTH(S$6)-MONTH($F15),1)=0)),IF($D15="Quarterly",((DATE(YEAR(S$5),MONTH(S$5),MIN(DAY($F15),DAY(EOMONTH(S$5,0))))&gt;=MAX(S$5,$F15))*(DATE(YEAR(S$5),MONTH(S$5),MIN(DAY($F15),DAY(EOMONTH(S$5,0))))&lt;=S$6)*(MOD((YEAR(S$5)-YEAR($F15))*12+MONTH(S$5)-MONTH($F15),3)=0)+(MONTH(S$6)&lt;&gt;MONTH(S$5))*(DATE(YEAR(S$6),MONTH(S$6),MIN(DAY($F15),DAY(EOMONTH(S$6,0))))&gt;=$F15)*(DATE(YEAR(S$6),MONTH(S$6),MIN(DAY($F15),DAY(EOMONTH(S$6,0))))&gt;=S$5)*(DATE(YEAR(S$6),MONTH(S$6),MIN(DAY($F15),DAY(EOMONTH(S$6,0))))&lt;=S$6)*(MOD((YEAR(S$6)-YEAR($F15))*12+MONTH(S$6)-MONTH($F15),3)=0)),IF($D15="One-off",($F15&gt;=S$5)*($F15&lt;=S$6),0))))))</f>
        <v>0</v>
      </c>
      <c r="T15" s="19">
        <f>IF(OR($E15="",$F15="",$D15=""),0,IF(OR($C15="Loan and finance repayments",$C15="VAT and taxes",$C15="Capital expenditure",$C15="Licences and regulatory fees"),1,1+CostAdj)*$E15*IF($D15="Weekly",(MAX(0,INT((T$6-$F15)/7)+1)-MAX(0,INT((T$5-1-$F15)/7)+1)),IF($D15="Fortnightly",(MAX(0,INT((T$6-$F15)/14)+1)-MAX(0,INT((T$5-1-$F15)/14)+1)),IF($D15="Monthly",((DATE(YEAR(T$5),MONTH(T$5),MIN(DAY($F15),DAY(EOMONTH(T$5,0))))&gt;=MAX(T$5,$F15))*(DATE(YEAR(T$5),MONTH(T$5),MIN(DAY($F15),DAY(EOMONTH(T$5,0))))&lt;=T$6)*(MOD((YEAR(T$5)-YEAR($F15))*12+MONTH(T$5)-MONTH($F15),1)=0)+(MONTH(T$6)&lt;&gt;MONTH(T$5))*(DATE(YEAR(T$6),MONTH(T$6),MIN(DAY($F15),DAY(EOMONTH(T$6,0))))&gt;=$F15)*(DATE(YEAR(T$6),MONTH(T$6),MIN(DAY($F15),DAY(EOMONTH(T$6,0))))&gt;=T$5)*(DATE(YEAR(T$6),MONTH(T$6),MIN(DAY($F15),DAY(EOMONTH(T$6,0))))&lt;=T$6)*(MOD((YEAR(T$6)-YEAR($F15))*12+MONTH(T$6)-MONTH($F15),1)=0)),IF($D15="Quarterly",((DATE(YEAR(T$5),MONTH(T$5),MIN(DAY($F15),DAY(EOMONTH(T$5,0))))&gt;=MAX(T$5,$F15))*(DATE(YEAR(T$5),MONTH(T$5),MIN(DAY($F15),DAY(EOMONTH(T$5,0))))&lt;=T$6)*(MOD((YEAR(T$5)-YEAR($F15))*12+MONTH(T$5)-MONTH($F15),3)=0)+(MONTH(T$6)&lt;&gt;MONTH(T$5))*(DATE(YEAR(T$6),MONTH(T$6),MIN(DAY($F15),DAY(EOMONTH(T$6,0))))&gt;=$F15)*(DATE(YEAR(T$6),MONTH(T$6),MIN(DAY($F15),DAY(EOMONTH(T$6,0))))&gt;=T$5)*(DATE(YEAR(T$6),MONTH(T$6),MIN(DAY($F15),DAY(EOMONTH(T$6,0))))&lt;=T$6)*(MOD((YEAR(T$6)-YEAR($F15))*12+MONTH(T$6)-MONTH($F15),3)=0)),IF($D15="One-off",($F15&gt;=T$5)*($F15&lt;=T$6),0))))))</f>
        <v>0</v>
      </c>
      <c r="U15" s="36">
        <f>SUM(H15:T15)</f>
        <v>54000</v>
      </c>
    </row>
    <row r="16" spans="1:21">
      <c r="A16" s="42">
        <v>8</v>
      </c>
      <c r="B16" s="7" t="s">
        <v>136</v>
      </c>
      <c r="C16" s="7" t="s">
        <v>4</v>
      </c>
      <c r="D16" s="7" t="s">
        <v>17</v>
      </c>
      <c r="E16" s="18">
        <v>48000</v>
      </c>
      <c r="F16" s="17">
        <v>46338</v>
      </c>
      <c r="G16" s="7" t="s">
        <v>137</v>
      </c>
      <c r="H16" s="19">
        <f>IF(OR($E16="",$F16="",$D16=""),0,IF(OR($C16="Loan and finance repayments",$C16="VAT and taxes",$C16="Capital expenditure",$C16="Licences and regulatory fees"),1,1+CostAdj)*$E16*IF($D16="Weekly",(MAX(0,INT((H$6-$F16)/7)+1)-MAX(0,INT((H$5-1-$F16)/7)+1)),IF($D16="Fortnightly",(MAX(0,INT((H$6-$F16)/14)+1)-MAX(0,INT((H$5-1-$F16)/14)+1)),IF($D16="Monthly",((DATE(YEAR(H$5),MONTH(H$5),MIN(DAY($F16),DAY(EOMONTH(H$5,0))))&gt;=MAX(H$5,$F16))*(DATE(YEAR(H$5),MONTH(H$5),MIN(DAY($F16),DAY(EOMONTH(H$5,0))))&lt;=H$6)*(MOD((YEAR(H$5)-YEAR($F16))*12+MONTH(H$5)-MONTH($F16),1)=0)+(MONTH(H$6)&lt;&gt;MONTH(H$5))*(DATE(YEAR(H$6),MONTH(H$6),MIN(DAY($F16),DAY(EOMONTH(H$6,0))))&gt;=$F16)*(DATE(YEAR(H$6),MONTH(H$6),MIN(DAY($F16),DAY(EOMONTH(H$6,0))))&gt;=H$5)*(DATE(YEAR(H$6),MONTH(H$6),MIN(DAY($F16),DAY(EOMONTH(H$6,0))))&lt;=H$6)*(MOD((YEAR(H$6)-YEAR($F16))*12+MONTH(H$6)-MONTH($F16),1)=0)),IF($D16="Quarterly",((DATE(YEAR(H$5),MONTH(H$5),MIN(DAY($F16),DAY(EOMONTH(H$5,0))))&gt;=MAX(H$5,$F16))*(DATE(YEAR(H$5),MONTH(H$5),MIN(DAY($F16),DAY(EOMONTH(H$5,0))))&lt;=H$6)*(MOD((YEAR(H$5)-YEAR($F16))*12+MONTH(H$5)-MONTH($F16),3)=0)+(MONTH(H$6)&lt;&gt;MONTH(H$5))*(DATE(YEAR(H$6),MONTH(H$6),MIN(DAY($F16),DAY(EOMONTH(H$6,0))))&gt;=$F16)*(DATE(YEAR(H$6),MONTH(H$6),MIN(DAY($F16),DAY(EOMONTH(H$6,0))))&gt;=H$5)*(DATE(YEAR(H$6),MONTH(H$6),MIN(DAY($F16),DAY(EOMONTH(H$6,0))))&lt;=H$6)*(MOD((YEAR(H$6)-YEAR($F16))*12+MONTH(H$6)-MONTH($F16),3)=0)),IF($D16="One-off",($F16&gt;=H$5)*($F16&lt;=H$6),0))))))</f>
        <v>0</v>
      </c>
      <c r="I16" s="19">
        <f>IF(OR($E16="",$F16="",$D16=""),0,IF(OR($C16="Loan and finance repayments",$C16="VAT and taxes",$C16="Capital expenditure",$C16="Licences and regulatory fees"),1,1+CostAdj)*$E16*IF($D16="Weekly",(MAX(0,INT((I$6-$F16)/7)+1)-MAX(0,INT((I$5-1-$F16)/7)+1)),IF($D16="Fortnightly",(MAX(0,INT((I$6-$F16)/14)+1)-MAX(0,INT((I$5-1-$F16)/14)+1)),IF($D16="Monthly",((DATE(YEAR(I$5),MONTH(I$5),MIN(DAY($F16),DAY(EOMONTH(I$5,0))))&gt;=MAX(I$5,$F16))*(DATE(YEAR(I$5),MONTH(I$5),MIN(DAY($F16),DAY(EOMONTH(I$5,0))))&lt;=I$6)*(MOD((YEAR(I$5)-YEAR($F16))*12+MONTH(I$5)-MONTH($F16),1)=0)+(MONTH(I$6)&lt;&gt;MONTH(I$5))*(DATE(YEAR(I$6),MONTH(I$6),MIN(DAY($F16),DAY(EOMONTH(I$6,0))))&gt;=$F16)*(DATE(YEAR(I$6),MONTH(I$6),MIN(DAY($F16),DAY(EOMONTH(I$6,0))))&gt;=I$5)*(DATE(YEAR(I$6),MONTH(I$6),MIN(DAY($F16),DAY(EOMONTH(I$6,0))))&lt;=I$6)*(MOD((YEAR(I$6)-YEAR($F16))*12+MONTH(I$6)-MONTH($F16),1)=0)),IF($D16="Quarterly",((DATE(YEAR(I$5),MONTH(I$5),MIN(DAY($F16),DAY(EOMONTH(I$5,0))))&gt;=MAX(I$5,$F16))*(DATE(YEAR(I$5),MONTH(I$5),MIN(DAY($F16),DAY(EOMONTH(I$5,0))))&lt;=I$6)*(MOD((YEAR(I$5)-YEAR($F16))*12+MONTH(I$5)-MONTH($F16),3)=0)+(MONTH(I$6)&lt;&gt;MONTH(I$5))*(DATE(YEAR(I$6),MONTH(I$6),MIN(DAY($F16),DAY(EOMONTH(I$6,0))))&gt;=$F16)*(DATE(YEAR(I$6),MONTH(I$6),MIN(DAY($F16),DAY(EOMONTH(I$6,0))))&gt;=I$5)*(DATE(YEAR(I$6),MONTH(I$6),MIN(DAY($F16),DAY(EOMONTH(I$6,0))))&lt;=I$6)*(MOD((YEAR(I$6)-YEAR($F16))*12+MONTH(I$6)-MONTH($F16),3)=0)),IF($D16="One-off",($F16&gt;=I$5)*($F16&lt;=I$6),0))))))</f>
        <v>0</v>
      </c>
      <c r="J16" s="19">
        <f>IF(OR($E16="",$F16="",$D16=""),0,IF(OR($C16="Loan and finance repayments",$C16="VAT and taxes",$C16="Capital expenditure",$C16="Licences and regulatory fees"),1,1+CostAdj)*$E16*IF($D16="Weekly",(MAX(0,INT((J$6-$F16)/7)+1)-MAX(0,INT((J$5-1-$F16)/7)+1)),IF($D16="Fortnightly",(MAX(0,INT((J$6-$F16)/14)+1)-MAX(0,INT((J$5-1-$F16)/14)+1)),IF($D16="Monthly",((DATE(YEAR(J$5),MONTH(J$5),MIN(DAY($F16),DAY(EOMONTH(J$5,0))))&gt;=MAX(J$5,$F16))*(DATE(YEAR(J$5),MONTH(J$5),MIN(DAY($F16),DAY(EOMONTH(J$5,0))))&lt;=J$6)*(MOD((YEAR(J$5)-YEAR($F16))*12+MONTH(J$5)-MONTH($F16),1)=0)+(MONTH(J$6)&lt;&gt;MONTH(J$5))*(DATE(YEAR(J$6),MONTH(J$6),MIN(DAY($F16),DAY(EOMONTH(J$6,0))))&gt;=$F16)*(DATE(YEAR(J$6),MONTH(J$6),MIN(DAY($F16),DAY(EOMONTH(J$6,0))))&gt;=J$5)*(DATE(YEAR(J$6),MONTH(J$6),MIN(DAY($F16),DAY(EOMONTH(J$6,0))))&lt;=J$6)*(MOD((YEAR(J$6)-YEAR($F16))*12+MONTH(J$6)-MONTH($F16),1)=0)),IF($D16="Quarterly",((DATE(YEAR(J$5),MONTH(J$5),MIN(DAY($F16),DAY(EOMONTH(J$5,0))))&gt;=MAX(J$5,$F16))*(DATE(YEAR(J$5),MONTH(J$5),MIN(DAY($F16),DAY(EOMONTH(J$5,0))))&lt;=J$6)*(MOD((YEAR(J$5)-YEAR($F16))*12+MONTH(J$5)-MONTH($F16),3)=0)+(MONTH(J$6)&lt;&gt;MONTH(J$5))*(DATE(YEAR(J$6),MONTH(J$6),MIN(DAY($F16),DAY(EOMONTH(J$6,0))))&gt;=$F16)*(DATE(YEAR(J$6),MONTH(J$6),MIN(DAY($F16),DAY(EOMONTH(J$6,0))))&gt;=J$5)*(DATE(YEAR(J$6),MONTH(J$6),MIN(DAY($F16),DAY(EOMONTH(J$6,0))))&lt;=J$6)*(MOD((YEAR(J$6)-YEAR($F16))*12+MONTH(J$6)-MONTH($F16),3)=0)),IF($D16="One-off",($F16&gt;=J$5)*($F16&lt;=J$6),0))))))</f>
        <v>0</v>
      </c>
      <c r="K16" s="19">
        <f>IF(OR($E16="",$F16="",$D16=""),0,IF(OR($C16="Loan and finance repayments",$C16="VAT and taxes",$C16="Capital expenditure",$C16="Licences and regulatory fees"),1,1+CostAdj)*$E16*IF($D16="Weekly",(MAX(0,INT((K$6-$F16)/7)+1)-MAX(0,INT((K$5-1-$F16)/7)+1)),IF($D16="Fortnightly",(MAX(0,INT((K$6-$F16)/14)+1)-MAX(0,INT((K$5-1-$F16)/14)+1)),IF($D16="Monthly",((DATE(YEAR(K$5),MONTH(K$5),MIN(DAY($F16),DAY(EOMONTH(K$5,0))))&gt;=MAX(K$5,$F16))*(DATE(YEAR(K$5),MONTH(K$5),MIN(DAY($F16),DAY(EOMONTH(K$5,0))))&lt;=K$6)*(MOD((YEAR(K$5)-YEAR($F16))*12+MONTH(K$5)-MONTH($F16),1)=0)+(MONTH(K$6)&lt;&gt;MONTH(K$5))*(DATE(YEAR(K$6),MONTH(K$6),MIN(DAY($F16),DAY(EOMONTH(K$6,0))))&gt;=$F16)*(DATE(YEAR(K$6),MONTH(K$6),MIN(DAY($F16),DAY(EOMONTH(K$6,0))))&gt;=K$5)*(DATE(YEAR(K$6),MONTH(K$6),MIN(DAY($F16),DAY(EOMONTH(K$6,0))))&lt;=K$6)*(MOD((YEAR(K$6)-YEAR($F16))*12+MONTH(K$6)-MONTH($F16),1)=0)),IF($D16="Quarterly",((DATE(YEAR(K$5),MONTH(K$5),MIN(DAY($F16),DAY(EOMONTH(K$5,0))))&gt;=MAX(K$5,$F16))*(DATE(YEAR(K$5),MONTH(K$5),MIN(DAY($F16),DAY(EOMONTH(K$5,0))))&lt;=K$6)*(MOD((YEAR(K$5)-YEAR($F16))*12+MONTH(K$5)-MONTH($F16),3)=0)+(MONTH(K$6)&lt;&gt;MONTH(K$5))*(DATE(YEAR(K$6),MONTH(K$6),MIN(DAY($F16),DAY(EOMONTH(K$6,0))))&gt;=$F16)*(DATE(YEAR(K$6),MONTH(K$6),MIN(DAY($F16),DAY(EOMONTH(K$6,0))))&gt;=K$5)*(DATE(YEAR(K$6),MONTH(K$6),MIN(DAY($F16),DAY(EOMONTH(K$6,0))))&lt;=K$6)*(MOD((YEAR(K$6)-YEAR($F16))*12+MONTH(K$6)-MONTH($F16),3)=0)),IF($D16="One-off",($F16&gt;=K$5)*($F16&lt;=K$6),0))))))</f>
        <v>0</v>
      </c>
      <c r="L16" s="19">
        <f>IF(OR($E16="",$F16="",$D16=""),0,IF(OR($C16="Loan and finance repayments",$C16="VAT and taxes",$C16="Capital expenditure",$C16="Licences and regulatory fees"),1,1+CostAdj)*$E16*IF($D16="Weekly",(MAX(0,INT((L$6-$F16)/7)+1)-MAX(0,INT((L$5-1-$F16)/7)+1)),IF($D16="Fortnightly",(MAX(0,INT((L$6-$F16)/14)+1)-MAX(0,INT((L$5-1-$F16)/14)+1)),IF($D16="Monthly",((DATE(YEAR(L$5),MONTH(L$5),MIN(DAY($F16),DAY(EOMONTH(L$5,0))))&gt;=MAX(L$5,$F16))*(DATE(YEAR(L$5),MONTH(L$5),MIN(DAY($F16),DAY(EOMONTH(L$5,0))))&lt;=L$6)*(MOD((YEAR(L$5)-YEAR($F16))*12+MONTH(L$5)-MONTH($F16),1)=0)+(MONTH(L$6)&lt;&gt;MONTH(L$5))*(DATE(YEAR(L$6),MONTH(L$6),MIN(DAY($F16),DAY(EOMONTH(L$6,0))))&gt;=$F16)*(DATE(YEAR(L$6),MONTH(L$6),MIN(DAY($F16),DAY(EOMONTH(L$6,0))))&gt;=L$5)*(DATE(YEAR(L$6),MONTH(L$6),MIN(DAY($F16),DAY(EOMONTH(L$6,0))))&lt;=L$6)*(MOD((YEAR(L$6)-YEAR($F16))*12+MONTH(L$6)-MONTH($F16),1)=0)),IF($D16="Quarterly",((DATE(YEAR(L$5),MONTH(L$5),MIN(DAY($F16),DAY(EOMONTH(L$5,0))))&gt;=MAX(L$5,$F16))*(DATE(YEAR(L$5),MONTH(L$5),MIN(DAY($F16),DAY(EOMONTH(L$5,0))))&lt;=L$6)*(MOD((YEAR(L$5)-YEAR($F16))*12+MONTH(L$5)-MONTH($F16),3)=0)+(MONTH(L$6)&lt;&gt;MONTH(L$5))*(DATE(YEAR(L$6),MONTH(L$6),MIN(DAY($F16),DAY(EOMONTH(L$6,0))))&gt;=$F16)*(DATE(YEAR(L$6),MONTH(L$6),MIN(DAY($F16),DAY(EOMONTH(L$6,0))))&gt;=L$5)*(DATE(YEAR(L$6),MONTH(L$6),MIN(DAY($F16),DAY(EOMONTH(L$6,0))))&lt;=L$6)*(MOD((YEAR(L$6)-YEAR($F16))*12+MONTH(L$6)-MONTH($F16),3)=0)),IF($D16="One-off",($F16&gt;=L$5)*($F16&lt;=L$6),0))))))</f>
        <v>0</v>
      </c>
      <c r="M16" s="19">
        <f>IF(OR($E16="",$F16="",$D16=""),0,IF(OR($C16="Loan and finance repayments",$C16="VAT and taxes",$C16="Capital expenditure",$C16="Licences and regulatory fees"),1,1+CostAdj)*$E16*IF($D16="Weekly",(MAX(0,INT((M$6-$F16)/7)+1)-MAX(0,INT((M$5-1-$F16)/7)+1)),IF($D16="Fortnightly",(MAX(0,INT((M$6-$F16)/14)+1)-MAX(0,INT((M$5-1-$F16)/14)+1)),IF($D16="Monthly",((DATE(YEAR(M$5),MONTH(M$5),MIN(DAY($F16),DAY(EOMONTH(M$5,0))))&gt;=MAX(M$5,$F16))*(DATE(YEAR(M$5),MONTH(M$5),MIN(DAY($F16),DAY(EOMONTH(M$5,0))))&lt;=M$6)*(MOD((YEAR(M$5)-YEAR($F16))*12+MONTH(M$5)-MONTH($F16),1)=0)+(MONTH(M$6)&lt;&gt;MONTH(M$5))*(DATE(YEAR(M$6),MONTH(M$6),MIN(DAY($F16),DAY(EOMONTH(M$6,0))))&gt;=$F16)*(DATE(YEAR(M$6),MONTH(M$6),MIN(DAY($F16),DAY(EOMONTH(M$6,0))))&gt;=M$5)*(DATE(YEAR(M$6),MONTH(M$6),MIN(DAY($F16),DAY(EOMONTH(M$6,0))))&lt;=M$6)*(MOD((YEAR(M$6)-YEAR($F16))*12+MONTH(M$6)-MONTH($F16),1)=0)),IF($D16="Quarterly",((DATE(YEAR(M$5),MONTH(M$5),MIN(DAY($F16),DAY(EOMONTH(M$5,0))))&gt;=MAX(M$5,$F16))*(DATE(YEAR(M$5),MONTH(M$5),MIN(DAY($F16),DAY(EOMONTH(M$5,0))))&lt;=M$6)*(MOD((YEAR(M$5)-YEAR($F16))*12+MONTH(M$5)-MONTH($F16),3)=0)+(MONTH(M$6)&lt;&gt;MONTH(M$5))*(DATE(YEAR(M$6),MONTH(M$6),MIN(DAY($F16),DAY(EOMONTH(M$6,0))))&gt;=$F16)*(DATE(YEAR(M$6),MONTH(M$6),MIN(DAY($F16),DAY(EOMONTH(M$6,0))))&gt;=M$5)*(DATE(YEAR(M$6),MONTH(M$6),MIN(DAY($F16),DAY(EOMONTH(M$6,0))))&lt;=M$6)*(MOD((YEAR(M$6)-YEAR($F16))*12+MONTH(M$6)-MONTH($F16),3)=0)),IF($D16="One-off",($F16&gt;=M$5)*($F16&lt;=M$6),0))))))</f>
        <v>48000</v>
      </c>
      <c r="N16" s="19">
        <f>IF(OR($E16="",$F16="",$D16=""),0,IF(OR($C16="Loan and finance repayments",$C16="VAT and taxes",$C16="Capital expenditure",$C16="Licences and regulatory fees"),1,1+CostAdj)*$E16*IF($D16="Weekly",(MAX(0,INT((N$6-$F16)/7)+1)-MAX(0,INT((N$5-1-$F16)/7)+1)),IF($D16="Fortnightly",(MAX(0,INT((N$6-$F16)/14)+1)-MAX(0,INT((N$5-1-$F16)/14)+1)),IF($D16="Monthly",((DATE(YEAR(N$5),MONTH(N$5),MIN(DAY($F16),DAY(EOMONTH(N$5,0))))&gt;=MAX(N$5,$F16))*(DATE(YEAR(N$5),MONTH(N$5),MIN(DAY($F16),DAY(EOMONTH(N$5,0))))&lt;=N$6)*(MOD((YEAR(N$5)-YEAR($F16))*12+MONTH(N$5)-MONTH($F16),1)=0)+(MONTH(N$6)&lt;&gt;MONTH(N$5))*(DATE(YEAR(N$6),MONTH(N$6),MIN(DAY($F16),DAY(EOMONTH(N$6,0))))&gt;=$F16)*(DATE(YEAR(N$6),MONTH(N$6),MIN(DAY($F16),DAY(EOMONTH(N$6,0))))&gt;=N$5)*(DATE(YEAR(N$6),MONTH(N$6),MIN(DAY($F16),DAY(EOMONTH(N$6,0))))&lt;=N$6)*(MOD((YEAR(N$6)-YEAR($F16))*12+MONTH(N$6)-MONTH($F16),1)=0)),IF($D16="Quarterly",((DATE(YEAR(N$5),MONTH(N$5),MIN(DAY($F16),DAY(EOMONTH(N$5,0))))&gt;=MAX(N$5,$F16))*(DATE(YEAR(N$5),MONTH(N$5),MIN(DAY($F16),DAY(EOMONTH(N$5,0))))&lt;=N$6)*(MOD((YEAR(N$5)-YEAR($F16))*12+MONTH(N$5)-MONTH($F16),3)=0)+(MONTH(N$6)&lt;&gt;MONTH(N$5))*(DATE(YEAR(N$6),MONTH(N$6),MIN(DAY($F16),DAY(EOMONTH(N$6,0))))&gt;=$F16)*(DATE(YEAR(N$6),MONTH(N$6),MIN(DAY($F16),DAY(EOMONTH(N$6,0))))&gt;=N$5)*(DATE(YEAR(N$6),MONTH(N$6),MIN(DAY($F16),DAY(EOMONTH(N$6,0))))&lt;=N$6)*(MOD((YEAR(N$6)-YEAR($F16))*12+MONTH(N$6)-MONTH($F16),3)=0)),IF($D16="One-off",($F16&gt;=N$5)*($F16&lt;=N$6),0))))))</f>
        <v>0</v>
      </c>
      <c r="O16" s="19">
        <f>IF(OR($E16="",$F16="",$D16=""),0,IF(OR($C16="Loan and finance repayments",$C16="VAT and taxes",$C16="Capital expenditure",$C16="Licences and regulatory fees"),1,1+CostAdj)*$E16*IF($D16="Weekly",(MAX(0,INT((O$6-$F16)/7)+1)-MAX(0,INT((O$5-1-$F16)/7)+1)),IF($D16="Fortnightly",(MAX(0,INT((O$6-$F16)/14)+1)-MAX(0,INT((O$5-1-$F16)/14)+1)),IF($D16="Monthly",((DATE(YEAR(O$5),MONTH(O$5),MIN(DAY($F16),DAY(EOMONTH(O$5,0))))&gt;=MAX(O$5,$F16))*(DATE(YEAR(O$5),MONTH(O$5),MIN(DAY($F16),DAY(EOMONTH(O$5,0))))&lt;=O$6)*(MOD((YEAR(O$5)-YEAR($F16))*12+MONTH(O$5)-MONTH($F16),1)=0)+(MONTH(O$6)&lt;&gt;MONTH(O$5))*(DATE(YEAR(O$6),MONTH(O$6),MIN(DAY($F16),DAY(EOMONTH(O$6,0))))&gt;=$F16)*(DATE(YEAR(O$6),MONTH(O$6),MIN(DAY($F16),DAY(EOMONTH(O$6,0))))&gt;=O$5)*(DATE(YEAR(O$6),MONTH(O$6),MIN(DAY($F16),DAY(EOMONTH(O$6,0))))&lt;=O$6)*(MOD((YEAR(O$6)-YEAR($F16))*12+MONTH(O$6)-MONTH($F16),1)=0)),IF($D16="Quarterly",((DATE(YEAR(O$5),MONTH(O$5),MIN(DAY($F16),DAY(EOMONTH(O$5,0))))&gt;=MAX(O$5,$F16))*(DATE(YEAR(O$5),MONTH(O$5),MIN(DAY($F16),DAY(EOMONTH(O$5,0))))&lt;=O$6)*(MOD((YEAR(O$5)-YEAR($F16))*12+MONTH(O$5)-MONTH($F16),3)=0)+(MONTH(O$6)&lt;&gt;MONTH(O$5))*(DATE(YEAR(O$6),MONTH(O$6),MIN(DAY($F16),DAY(EOMONTH(O$6,0))))&gt;=$F16)*(DATE(YEAR(O$6),MONTH(O$6),MIN(DAY($F16),DAY(EOMONTH(O$6,0))))&gt;=O$5)*(DATE(YEAR(O$6),MONTH(O$6),MIN(DAY($F16),DAY(EOMONTH(O$6,0))))&lt;=O$6)*(MOD((YEAR(O$6)-YEAR($F16))*12+MONTH(O$6)-MONTH($F16),3)=0)),IF($D16="One-off",($F16&gt;=O$5)*($F16&lt;=O$6),0))))))</f>
        <v>0</v>
      </c>
      <c r="P16" s="19">
        <f>IF(OR($E16="",$F16="",$D16=""),0,IF(OR($C16="Loan and finance repayments",$C16="VAT and taxes",$C16="Capital expenditure",$C16="Licences and regulatory fees"),1,1+CostAdj)*$E16*IF($D16="Weekly",(MAX(0,INT((P$6-$F16)/7)+1)-MAX(0,INT((P$5-1-$F16)/7)+1)),IF($D16="Fortnightly",(MAX(0,INT((P$6-$F16)/14)+1)-MAX(0,INT((P$5-1-$F16)/14)+1)),IF($D16="Monthly",((DATE(YEAR(P$5),MONTH(P$5),MIN(DAY($F16),DAY(EOMONTH(P$5,0))))&gt;=MAX(P$5,$F16))*(DATE(YEAR(P$5),MONTH(P$5),MIN(DAY($F16),DAY(EOMONTH(P$5,0))))&lt;=P$6)*(MOD((YEAR(P$5)-YEAR($F16))*12+MONTH(P$5)-MONTH($F16),1)=0)+(MONTH(P$6)&lt;&gt;MONTH(P$5))*(DATE(YEAR(P$6),MONTH(P$6),MIN(DAY($F16),DAY(EOMONTH(P$6,0))))&gt;=$F16)*(DATE(YEAR(P$6),MONTH(P$6),MIN(DAY($F16),DAY(EOMONTH(P$6,0))))&gt;=P$5)*(DATE(YEAR(P$6),MONTH(P$6),MIN(DAY($F16),DAY(EOMONTH(P$6,0))))&lt;=P$6)*(MOD((YEAR(P$6)-YEAR($F16))*12+MONTH(P$6)-MONTH($F16),1)=0)),IF($D16="Quarterly",((DATE(YEAR(P$5),MONTH(P$5),MIN(DAY($F16),DAY(EOMONTH(P$5,0))))&gt;=MAX(P$5,$F16))*(DATE(YEAR(P$5),MONTH(P$5),MIN(DAY($F16),DAY(EOMONTH(P$5,0))))&lt;=P$6)*(MOD((YEAR(P$5)-YEAR($F16))*12+MONTH(P$5)-MONTH($F16),3)=0)+(MONTH(P$6)&lt;&gt;MONTH(P$5))*(DATE(YEAR(P$6),MONTH(P$6),MIN(DAY($F16),DAY(EOMONTH(P$6,0))))&gt;=$F16)*(DATE(YEAR(P$6),MONTH(P$6),MIN(DAY($F16),DAY(EOMONTH(P$6,0))))&gt;=P$5)*(DATE(YEAR(P$6),MONTH(P$6),MIN(DAY($F16),DAY(EOMONTH(P$6,0))))&lt;=P$6)*(MOD((YEAR(P$6)-YEAR($F16))*12+MONTH(P$6)-MONTH($F16),3)=0)),IF($D16="One-off",($F16&gt;=P$5)*($F16&lt;=P$6),0))))))</f>
        <v>0</v>
      </c>
      <c r="Q16" s="19">
        <f>IF(OR($E16="",$F16="",$D16=""),0,IF(OR($C16="Loan and finance repayments",$C16="VAT and taxes",$C16="Capital expenditure",$C16="Licences and regulatory fees"),1,1+CostAdj)*$E16*IF($D16="Weekly",(MAX(0,INT((Q$6-$F16)/7)+1)-MAX(0,INT((Q$5-1-$F16)/7)+1)),IF($D16="Fortnightly",(MAX(0,INT((Q$6-$F16)/14)+1)-MAX(0,INT((Q$5-1-$F16)/14)+1)),IF($D16="Monthly",((DATE(YEAR(Q$5),MONTH(Q$5),MIN(DAY($F16),DAY(EOMONTH(Q$5,0))))&gt;=MAX(Q$5,$F16))*(DATE(YEAR(Q$5),MONTH(Q$5),MIN(DAY($F16),DAY(EOMONTH(Q$5,0))))&lt;=Q$6)*(MOD((YEAR(Q$5)-YEAR($F16))*12+MONTH(Q$5)-MONTH($F16),1)=0)+(MONTH(Q$6)&lt;&gt;MONTH(Q$5))*(DATE(YEAR(Q$6),MONTH(Q$6),MIN(DAY($F16),DAY(EOMONTH(Q$6,0))))&gt;=$F16)*(DATE(YEAR(Q$6),MONTH(Q$6),MIN(DAY($F16),DAY(EOMONTH(Q$6,0))))&gt;=Q$5)*(DATE(YEAR(Q$6),MONTH(Q$6),MIN(DAY($F16),DAY(EOMONTH(Q$6,0))))&lt;=Q$6)*(MOD((YEAR(Q$6)-YEAR($F16))*12+MONTH(Q$6)-MONTH($F16),1)=0)),IF($D16="Quarterly",((DATE(YEAR(Q$5),MONTH(Q$5),MIN(DAY($F16),DAY(EOMONTH(Q$5,0))))&gt;=MAX(Q$5,$F16))*(DATE(YEAR(Q$5),MONTH(Q$5),MIN(DAY($F16),DAY(EOMONTH(Q$5,0))))&lt;=Q$6)*(MOD((YEAR(Q$5)-YEAR($F16))*12+MONTH(Q$5)-MONTH($F16),3)=0)+(MONTH(Q$6)&lt;&gt;MONTH(Q$5))*(DATE(YEAR(Q$6),MONTH(Q$6),MIN(DAY($F16),DAY(EOMONTH(Q$6,0))))&gt;=$F16)*(DATE(YEAR(Q$6),MONTH(Q$6),MIN(DAY($F16),DAY(EOMONTH(Q$6,0))))&gt;=Q$5)*(DATE(YEAR(Q$6),MONTH(Q$6),MIN(DAY($F16),DAY(EOMONTH(Q$6,0))))&lt;=Q$6)*(MOD((YEAR(Q$6)-YEAR($F16))*12+MONTH(Q$6)-MONTH($F16),3)=0)),IF($D16="One-off",($F16&gt;=Q$5)*($F16&lt;=Q$6),0))))))</f>
        <v>0</v>
      </c>
      <c r="R16" s="19">
        <f>IF(OR($E16="",$F16="",$D16=""),0,IF(OR($C16="Loan and finance repayments",$C16="VAT and taxes",$C16="Capital expenditure",$C16="Licences and regulatory fees"),1,1+CostAdj)*$E16*IF($D16="Weekly",(MAX(0,INT((R$6-$F16)/7)+1)-MAX(0,INT((R$5-1-$F16)/7)+1)),IF($D16="Fortnightly",(MAX(0,INT((R$6-$F16)/14)+1)-MAX(0,INT((R$5-1-$F16)/14)+1)),IF($D16="Monthly",((DATE(YEAR(R$5),MONTH(R$5),MIN(DAY($F16),DAY(EOMONTH(R$5,0))))&gt;=MAX(R$5,$F16))*(DATE(YEAR(R$5),MONTH(R$5),MIN(DAY($F16),DAY(EOMONTH(R$5,0))))&lt;=R$6)*(MOD((YEAR(R$5)-YEAR($F16))*12+MONTH(R$5)-MONTH($F16),1)=0)+(MONTH(R$6)&lt;&gt;MONTH(R$5))*(DATE(YEAR(R$6),MONTH(R$6),MIN(DAY($F16),DAY(EOMONTH(R$6,0))))&gt;=$F16)*(DATE(YEAR(R$6),MONTH(R$6),MIN(DAY($F16),DAY(EOMONTH(R$6,0))))&gt;=R$5)*(DATE(YEAR(R$6),MONTH(R$6),MIN(DAY($F16),DAY(EOMONTH(R$6,0))))&lt;=R$6)*(MOD((YEAR(R$6)-YEAR($F16))*12+MONTH(R$6)-MONTH($F16),1)=0)),IF($D16="Quarterly",((DATE(YEAR(R$5),MONTH(R$5),MIN(DAY($F16),DAY(EOMONTH(R$5,0))))&gt;=MAX(R$5,$F16))*(DATE(YEAR(R$5),MONTH(R$5),MIN(DAY($F16),DAY(EOMONTH(R$5,0))))&lt;=R$6)*(MOD((YEAR(R$5)-YEAR($F16))*12+MONTH(R$5)-MONTH($F16),3)=0)+(MONTH(R$6)&lt;&gt;MONTH(R$5))*(DATE(YEAR(R$6),MONTH(R$6),MIN(DAY($F16),DAY(EOMONTH(R$6,0))))&gt;=$F16)*(DATE(YEAR(R$6),MONTH(R$6),MIN(DAY($F16),DAY(EOMONTH(R$6,0))))&gt;=R$5)*(DATE(YEAR(R$6),MONTH(R$6),MIN(DAY($F16),DAY(EOMONTH(R$6,0))))&lt;=R$6)*(MOD((YEAR(R$6)-YEAR($F16))*12+MONTH(R$6)-MONTH($F16),3)=0)),IF($D16="One-off",($F16&gt;=R$5)*($F16&lt;=R$6),0))))))</f>
        <v>0</v>
      </c>
      <c r="S16" s="19">
        <f>IF(OR($E16="",$F16="",$D16=""),0,IF(OR($C16="Loan and finance repayments",$C16="VAT and taxes",$C16="Capital expenditure",$C16="Licences and regulatory fees"),1,1+CostAdj)*$E16*IF($D16="Weekly",(MAX(0,INT((S$6-$F16)/7)+1)-MAX(0,INT((S$5-1-$F16)/7)+1)),IF($D16="Fortnightly",(MAX(0,INT((S$6-$F16)/14)+1)-MAX(0,INT((S$5-1-$F16)/14)+1)),IF($D16="Monthly",((DATE(YEAR(S$5),MONTH(S$5),MIN(DAY($F16),DAY(EOMONTH(S$5,0))))&gt;=MAX(S$5,$F16))*(DATE(YEAR(S$5),MONTH(S$5),MIN(DAY($F16),DAY(EOMONTH(S$5,0))))&lt;=S$6)*(MOD((YEAR(S$5)-YEAR($F16))*12+MONTH(S$5)-MONTH($F16),1)=0)+(MONTH(S$6)&lt;&gt;MONTH(S$5))*(DATE(YEAR(S$6),MONTH(S$6),MIN(DAY($F16),DAY(EOMONTH(S$6,0))))&gt;=$F16)*(DATE(YEAR(S$6),MONTH(S$6),MIN(DAY($F16),DAY(EOMONTH(S$6,0))))&gt;=S$5)*(DATE(YEAR(S$6),MONTH(S$6),MIN(DAY($F16),DAY(EOMONTH(S$6,0))))&lt;=S$6)*(MOD((YEAR(S$6)-YEAR($F16))*12+MONTH(S$6)-MONTH($F16),1)=0)),IF($D16="Quarterly",((DATE(YEAR(S$5),MONTH(S$5),MIN(DAY($F16),DAY(EOMONTH(S$5,0))))&gt;=MAX(S$5,$F16))*(DATE(YEAR(S$5),MONTH(S$5),MIN(DAY($F16),DAY(EOMONTH(S$5,0))))&lt;=S$6)*(MOD((YEAR(S$5)-YEAR($F16))*12+MONTH(S$5)-MONTH($F16),3)=0)+(MONTH(S$6)&lt;&gt;MONTH(S$5))*(DATE(YEAR(S$6),MONTH(S$6),MIN(DAY($F16),DAY(EOMONTH(S$6,0))))&gt;=$F16)*(DATE(YEAR(S$6),MONTH(S$6),MIN(DAY($F16),DAY(EOMONTH(S$6,0))))&gt;=S$5)*(DATE(YEAR(S$6),MONTH(S$6),MIN(DAY($F16),DAY(EOMONTH(S$6,0))))&lt;=S$6)*(MOD((YEAR(S$6)-YEAR($F16))*12+MONTH(S$6)-MONTH($F16),3)=0)),IF($D16="One-off",($F16&gt;=S$5)*($F16&lt;=S$6),0))))))</f>
        <v>0</v>
      </c>
      <c r="T16" s="19">
        <f>IF(OR($E16="",$F16="",$D16=""),0,IF(OR($C16="Loan and finance repayments",$C16="VAT and taxes",$C16="Capital expenditure",$C16="Licences and regulatory fees"),1,1+CostAdj)*$E16*IF($D16="Weekly",(MAX(0,INT((T$6-$F16)/7)+1)-MAX(0,INT((T$5-1-$F16)/7)+1)),IF($D16="Fortnightly",(MAX(0,INT((T$6-$F16)/14)+1)-MAX(0,INT((T$5-1-$F16)/14)+1)),IF($D16="Monthly",((DATE(YEAR(T$5),MONTH(T$5),MIN(DAY($F16),DAY(EOMONTH(T$5,0))))&gt;=MAX(T$5,$F16))*(DATE(YEAR(T$5),MONTH(T$5),MIN(DAY($F16),DAY(EOMONTH(T$5,0))))&lt;=T$6)*(MOD((YEAR(T$5)-YEAR($F16))*12+MONTH(T$5)-MONTH($F16),1)=0)+(MONTH(T$6)&lt;&gt;MONTH(T$5))*(DATE(YEAR(T$6),MONTH(T$6),MIN(DAY($F16),DAY(EOMONTH(T$6,0))))&gt;=$F16)*(DATE(YEAR(T$6),MONTH(T$6),MIN(DAY($F16),DAY(EOMONTH(T$6,0))))&gt;=T$5)*(DATE(YEAR(T$6),MONTH(T$6),MIN(DAY($F16),DAY(EOMONTH(T$6,0))))&lt;=T$6)*(MOD((YEAR(T$6)-YEAR($F16))*12+MONTH(T$6)-MONTH($F16),1)=0)),IF($D16="Quarterly",((DATE(YEAR(T$5),MONTH(T$5),MIN(DAY($F16),DAY(EOMONTH(T$5,0))))&gt;=MAX(T$5,$F16))*(DATE(YEAR(T$5),MONTH(T$5),MIN(DAY($F16),DAY(EOMONTH(T$5,0))))&lt;=T$6)*(MOD((YEAR(T$5)-YEAR($F16))*12+MONTH(T$5)-MONTH($F16),3)=0)+(MONTH(T$6)&lt;&gt;MONTH(T$5))*(DATE(YEAR(T$6),MONTH(T$6),MIN(DAY($F16),DAY(EOMONTH(T$6,0))))&gt;=$F16)*(DATE(YEAR(T$6),MONTH(T$6),MIN(DAY($F16),DAY(EOMONTH(T$6,0))))&gt;=T$5)*(DATE(YEAR(T$6),MONTH(T$6),MIN(DAY($F16),DAY(EOMONTH(T$6,0))))&lt;=T$6)*(MOD((YEAR(T$6)-YEAR($F16))*12+MONTH(T$6)-MONTH($F16),3)=0)),IF($D16="One-off",($F16&gt;=T$5)*($F16&lt;=T$6),0))))))</f>
        <v>0</v>
      </c>
      <c r="U16" s="36">
        <f>SUM(H16:T16)</f>
        <v>48000</v>
      </c>
    </row>
    <row r="17" spans="1:21">
      <c r="A17" s="42">
        <v>9</v>
      </c>
      <c r="B17" s="7" t="s">
        <v>138</v>
      </c>
      <c r="C17" s="7" t="s">
        <v>5</v>
      </c>
      <c r="D17" s="7" t="s">
        <v>17</v>
      </c>
      <c r="E17" s="18">
        <v>35000</v>
      </c>
      <c r="F17" s="17">
        <v>46345</v>
      </c>
      <c r="G17" s="7" t="s">
        <v>139</v>
      </c>
      <c r="H17" s="19">
        <f>IF(OR($E17="",$F17="",$D17=""),0,IF(OR($C17="Loan and finance repayments",$C17="VAT and taxes",$C17="Capital expenditure",$C17="Licences and regulatory fees"),1,1+CostAdj)*$E17*IF($D17="Weekly",(MAX(0,INT((H$6-$F17)/7)+1)-MAX(0,INT((H$5-1-$F17)/7)+1)),IF($D17="Fortnightly",(MAX(0,INT((H$6-$F17)/14)+1)-MAX(0,INT((H$5-1-$F17)/14)+1)),IF($D17="Monthly",((DATE(YEAR(H$5),MONTH(H$5),MIN(DAY($F17),DAY(EOMONTH(H$5,0))))&gt;=MAX(H$5,$F17))*(DATE(YEAR(H$5),MONTH(H$5),MIN(DAY($F17),DAY(EOMONTH(H$5,0))))&lt;=H$6)*(MOD((YEAR(H$5)-YEAR($F17))*12+MONTH(H$5)-MONTH($F17),1)=0)+(MONTH(H$6)&lt;&gt;MONTH(H$5))*(DATE(YEAR(H$6),MONTH(H$6),MIN(DAY($F17),DAY(EOMONTH(H$6,0))))&gt;=$F17)*(DATE(YEAR(H$6),MONTH(H$6),MIN(DAY($F17),DAY(EOMONTH(H$6,0))))&gt;=H$5)*(DATE(YEAR(H$6),MONTH(H$6),MIN(DAY($F17),DAY(EOMONTH(H$6,0))))&lt;=H$6)*(MOD((YEAR(H$6)-YEAR($F17))*12+MONTH(H$6)-MONTH($F17),1)=0)),IF($D17="Quarterly",((DATE(YEAR(H$5),MONTH(H$5),MIN(DAY($F17),DAY(EOMONTH(H$5,0))))&gt;=MAX(H$5,$F17))*(DATE(YEAR(H$5),MONTH(H$5),MIN(DAY($F17),DAY(EOMONTH(H$5,0))))&lt;=H$6)*(MOD((YEAR(H$5)-YEAR($F17))*12+MONTH(H$5)-MONTH($F17),3)=0)+(MONTH(H$6)&lt;&gt;MONTH(H$5))*(DATE(YEAR(H$6),MONTH(H$6),MIN(DAY($F17),DAY(EOMONTH(H$6,0))))&gt;=$F17)*(DATE(YEAR(H$6),MONTH(H$6),MIN(DAY($F17),DAY(EOMONTH(H$6,0))))&gt;=H$5)*(DATE(YEAR(H$6),MONTH(H$6),MIN(DAY($F17),DAY(EOMONTH(H$6,0))))&lt;=H$6)*(MOD((YEAR(H$6)-YEAR($F17))*12+MONTH(H$6)-MONTH($F17),3)=0)),IF($D17="One-off",($F17&gt;=H$5)*($F17&lt;=H$6),0))))))</f>
        <v>0</v>
      </c>
      <c r="I17" s="19">
        <f>IF(OR($E17="",$F17="",$D17=""),0,IF(OR($C17="Loan and finance repayments",$C17="VAT and taxes",$C17="Capital expenditure",$C17="Licences and regulatory fees"),1,1+CostAdj)*$E17*IF($D17="Weekly",(MAX(0,INT((I$6-$F17)/7)+1)-MAX(0,INT((I$5-1-$F17)/7)+1)),IF($D17="Fortnightly",(MAX(0,INT((I$6-$F17)/14)+1)-MAX(0,INT((I$5-1-$F17)/14)+1)),IF($D17="Monthly",((DATE(YEAR(I$5),MONTH(I$5),MIN(DAY($F17),DAY(EOMONTH(I$5,0))))&gt;=MAX(I$5,$F17))*(DATE(YEAR(I$5),MONTH(I$5),MIN(DAY($F17),DAY(EOMONTH(I$5,0))))&lt;=I$6)*(MOD((YEAR(I$5)-YEAR($F17))*12+MONTH(I$5)-MONTH($F17),1)=0)+(MONTH(I$6)&lt;&gt;MONTH(I$5))*(DATE(YEAR(I$6),MONTH(I$6),MIN(DAY($F17),DAY(EOMONTH(I$6,0))))&gt;=$F17)*(DATE(YEAR(I$6),MONTH(I$6),MIN(DAY($F17),DAY(EOMONTH(I$6,0))))&gt;=I$5)*(DATE(YEAR(I$6),MONTH(I$6),MIN(DAY($F17),DAY(EOMONTH(I$6,0))))&lt;=I$6)*(MOD((YEAR(I$6)-YEAR($F17))*12+MONTH(I$6)-MONTH($F17),1)=0)),IF($D17="Quarterly",((DATE(YEAR(I$5),MONTH(I$5),MIN(DAY($F17),DAY(EOMONTH(I$5,0))))&gt;=MAX(I$5,$F17))*(DATE(YEAR(I$5),MONTH(I$5),MIN(DAY($F17),DAY(EOMONTH(I$5,0))))&lt;=I$6)*(MOD((YEAR(I$5)-YEAR($F17))*12+MONTH(I$5)-MONTH($F17),3)=0)+(MONTH(I$6)&lt;&gt;MONTH(I$5))*(DATE(YEAR(I$6),MONTH(I$6),MIN(DAY($F17),DAY(EOMONTH(I$6,0))))&gt;=$F17)*(DATE(YEAR(I$6),MONTH(I$6),MIN(DAY($F17),DAY(EOMONTH(I$6,0))))&gt;=I$5)*(DATE(YEAR(I$6),MONTH(I$6),MIN(DAY($F17),DAY(EOMONTH(I$6,0))))&lt;=I$6)*(MOD((YEAR(I$6)-YEAR($F17))*12+MONTH(I$6)-MONTH($F17),3)=0)),IF($D17="One-off",($F17&gt;=I$5)*($F17&lt;=I$6),0))))))</f>
        <v>0</v>
      </c>
      <c r="J17" s="19">
        <f>IF(OR($E17="",$F17="",$D17=""),0,IF(OR($C17="Loan and finance repayments",$C17="VAT and taxes",$C17="Capital expenditure",$C17="Licences and regulatory fees"),1,1+CostAdj)*$E17*IF($D17="Weekly",(MAX(0,INT((J$6-$F17)/7)+1)-MAX(0,INT((J$5-1-$F17)/7)+1)),IF($D17="Fortnightly",(MAX(0,INT((J$6-$F17)/14)+1)-MAX(0,INT((J$5-1-$F17)/14)+1)),IF($D17="Monthly",((DATE(YEAR(J$5),MONTH(J$5),MIN(DAY($F17),DAY(EOMONTH(J$5,0))))&gt;=MAX(J$5,$F17))*(DATE(YEAR(J$5),MONTH(J$5),MIN(DAY($F17),DAY(EOMONTH(J$5,0))))&lt;=J$6)*(MOD((YEAR(J$5)-YEAR($F17))*12+MONTH(J$5)-MONTH($F17),1)=0)+(MONTH(J$6)&lt;&gt;MONTH(J$5))*(DATE(YEAR(J$6),MONTH(J$6),MIN(DAY($F17),DAY(EOMONTH(J$6,0))))&gt;=$F17)*(DATE(YEAR(J$6),MONTH(J$6),MIN(DAY($F17),DAY(EOMONTH(J$6,0))))&gt;=J$5)*(DATE(YEAR(J$6),MONTH(J$6),MIN(DAY($F17),DAY(EOMONTH(J$6,0))))&lt;=J$6)*(MOD((YEAR(J$6)-YEAR($F17))*12+MONTH(J$6)-MONTH($F17),1)=0)),IF($D17="Quarterly",((DATE(YEAR(J$5),MONTH(J$5),MIN(DAY($F17),DAY(EOMONTH(J$5,0))))&gt;=MAX(J$5,$F17))*(DATE(YEAR(J$5),MONTH(J$5),MIN(DAY($F17),DAY(EOMONTH(J$5,0))))&lt;=J$6)*(MOD((YEAR(J$5)-YEAR($F17))*12+MONTH(J$5)-MONTH($F17),3)=0)+(MONTH(J$6)&lt;&gt;MONTH(J$5))*(DATE(YEAR(J$6),MONTH(J$6),MIN(DAY($F17),DAY(EOMONTH(J$6,0))))&gt;=$F17)*(DATE(YEAR(J$6),MONTH(J$6),MIN(DAY($F17),DAY(EOMONTH(J$6,0))))&gt;=J$5)*(DATE(YEAR(J$6),MONTH(J$6),MIN(DAY($F17),DAY(EOMONTH(J$6,0))))&lt;=J$6)*(MOD((YEAR(J$6)-YEAR($F17))*12+MONTH(J$6)-MONTH($F17),3)=0)),IF($D17="One-off",($F17&gt;=J$5)*($F17&lt;=J$6),0))))))</f>
        <v>0</v>
      </c>
      <c r="K17" s="19">
        <f>IF(OR($E17="",$F17="",$D17=""),0,IF(OR($C17="Loan and finance repayments",$C17="VAT and taxes",$C17="Capital expenditure",$C17="Licences and regulatory fees"),1,1+CostAdj)*$E17*IF($D17="Weekly",(MAX(0,INT((K$6-$F17)/7)+1)-MAX(0,INT((K$5-1-$F17)/7)+1)),IF($D17="Fortnightly",(MAX(0,INT((K$6-$F17)/14)+1)-MAX(0,INT((K$5-1-$F17)/14)+1)),IF($D17="Monthly",((DATE(YEAR(K$5),MONTH(K$5),MIN(DAY($F17),DAY(EOMONTH(K$5,0))))&gt;=MAX(K$5,$F17))*(DATE(YEAR(K$5),MONTH(K$5),MIN(DAY($F17),DAY(EOMONTH(K$5,0))))&lt;=K$6)*(MOD((YEAR(K$5)-YEAR($F17))*12+MONTH(K$5)-MONTH($F17),1)=0)+(MONTH(K$6)&lt;&gt;MONTH(K$5))*(DATE(YEAR(K$6),MONTH(K$6),MIN(DAY($F17),DAY(EOMONTH(K$6,0))))&gt;=$F17)*(DATE(YEAR(K$6),MONTH(K$6),MIN(DAY($F17),DAY(EOMONTH(K$6,0))))&gt;=K$5)*(DATE(YEAR(K$6),MONTH(K$6),MIN(DAY($F17),DAY(EOMONTH(K$6,0))))&lt;=K$6)*(MOD((YEAR(K$6)-YEAR($F17))*12+MONTH(K$6)-MONTH($F17),1)=0)),IF($D17="Quarterly",((DATE(YEAR(K$5),MONTH(K$5),MIN(DAY($F17),DAY(EOMONTH(K$5,0))))&gt;=MAX(K$5,$F17))*(DATE(YEAR(K$5),MONTH(K$5),MIN(DAY($F17),DAY(EOMONTH(K$5,0))))&lt;=K$6)*(MOD((YEAR(K$5)-YEAR($F17))*12+MONTH(K$5)-MONTH($F17),3)=0)+(MONTH(K$6)&lt;&gt;MONTH(K$5))*(DATE(YEAR(K$6),MONTH(K$6),MIN(DAY($F17),DAY(EOMONTH(K$6,0))))&gt;=$F17)*(DATE(YEAR(K$6),MONTH(K$6),MIN(DAY($F17),DAY(EOMONTH(K$6,0))))&gt;=K$5)*(DATE(YEAR(K$6),MONTH(K$6),MIN(DAY($F17),DAY(EOMONTH(K$6,0))))&lt;=K$6)*(MOD((YEAR(K$6)-YEAR($F17))*12+MONTH(K$6)-MONTH($F17),3)=0)),IF($D17="One-off",($F17&gt;=K$5)*($F17&lt;=K$6),0))))))</f>
        <v>0</v>
      </c>
      <c r="L17" s="19">
        <f>IF(OR($E17="",$F17="",$D17=""),0,IF(OR($C17="Loan and finance repayments",$C17="VAT and taxes",$C17="Capital expenditure",$C17="Licences and regulatory fees"),1,1+CostAdj)*$E17*IF($D17="Weekly",(MAX(0,INT((L$6-$F17)/7)+1)-MAX(0,INT((L$5-1-$F17)/7)+1)),IF($D17="Fortnightly",(MAX(0,INT((L$6-$F17)/14)+1)-MAX(0,INT((L$5-1-$F17)/14)+1)),IF($D17="Monthly",((DATE(YEAR(L$5),MONTH(L$5),MIN(DAY($F17),DAY(EOMONTH(L$5,0))))&gt;=MAX(L$5,$F17))*(DATE(YEAR(L$5),MONTH(L$5),MIN(DAY($F17),DAY(EOMONTH(L$5,0))))&lt;=L$6)*(MOD((YEAR(L$5)-YEAR($F17))*12+MONTH(L$5)-MONTH($F17),1)=0)+(MONTH(L$6)&lt;&gt;MONTH(L$5))*(DATE(YEAR(L$6),MONTH(L$6),MIN(DAY($F17),DAY(EOMONTH(L$6,0))))&gt;=$F17)*(DATE(YEAR(L$6),MONTH(L$6),MIN(DAY($F17),DAY(EOMONTH(L$6,0))))&gt;=L$5)*(DATE(YEAR(L$6),MONTH(L$6),MIN(DAY($F17),DAY(EOMONTH(L$6,0))))&lt;=L$6)*(MOD((YEAR(L$6)-YEAR($F17))*12+MONTH(L$6)-MONTH($F17),1)=0)),IF($D17="Quarterly",((DATE(YEAR(L$5),MONTH(L$5),MIN(DAY($F17),DAY(EOMONTH(L$5,0))))&gt;=MAX(L$5,$F17))*(DATE(YEAR(L$5),MONTH(L$5),MIN(DAY($F17),DAY(EOMONTH(L$5,0))))&lt;=L$6)*(MOD((YEAR(L$5)-YEAR($F17))*12+MONTH(L$5)-MONTH($F17),3)=0)+(MONTH(L$6)&lt;&gt;MONTH(L$5))*(DATE(YEAR(L$6),MONTH(L$6),MIN(DAY($F17),DAY(EOMONTH(L$6,0))))&gt;=$F17)*(DATE(YEAR(L$6),MONTH(L$6),MIN(DAY($F17),DAY(EOMONTH(L$6,0))))&gt;=L$5)*(DATE(YEAR(L$6),MONTH(L$6),MIN(DAY($F17),DAY(EOMONTH(L$6,0))))&lt;=L$6)*(MOD((YEAR(L$6)-YEAR($F17))*12+MONTH(L$6)-MONTH($F17),3)=0)),IF($D17="One-off",($F17&gt;=L$5)*($F17&lt;=L$6),0))))))</f>
        <v>0</v>
      </c>
      <c r="M17" s="19">
        <f>IF(OR($E17="",$F17="",$D17=""),0,IF(OR($C17="Loan and finance repayments",$C17="VAT and taxes",$C17="Capital expenditure",$C17="Licences and regulatory fees"),1,1+CostAdj)*$E17*IF($D17="Weekly",(MAX(0,INT((M$6-$F17)/7)+1)-MAX(0,INT((M$5-1-$F17)/7)+1)),IF($D17="Fortnightly",(MAX(0,INT((M$6-$F17)/14)+1)-MAX(0,INT((M$5-1-$F17)/14)+1)),IF($D17="Monthly",((DATE(YEAR(M$5),MONTH(M$5),MIN(DAY($F17),DAY(EOMONTH(M$5,0))))&gt;=MAX(M$5,$F17))*(DATE(YEAR(M$5),MONTH(M$5),MIN(DAY($F17),DAY(EOMONTH(M$5,0))))&lt;=M$6)*(MOD((YEAR(M$5)-YEAR($F17))*12+MONTH(M$5)-MONTH($F17),1)=0)+(MONTH(M$6)&lt;&gt;MONTH(M$5))*(DATE(YEAR(M$6),MONTH(M$6),MIN(DAY($F17),DAY(EOMONTH(M$6,0))))&gt;=$F17)*(DATE(YEAR(M$6),MONTH(M$6),MIN(DAY($F17),DAY(EOMONTH(M$6,0))))&gt;=M$5)*(DATE(YEAR(M$6),MONTH(M$6),MIN(DAY($F17),DAY(EOMONTH(M$6,0))))&lt;=M$6)*(MOD((YEAR(M$6)-YEAR($F17))*12+MONTH(M$6)-MONTH($F17),1)=0)),IF($D17="Quarterly",((DATE(YEAR(M$5),MONTH(M$5),MIN(DAY($F17),DAY(EOMONTH(M$5,0))))&gt;=MAX(M$5,$F17))*(DATE(YEAR(M$5),MONTH(M$5),MIN(DAY($F17),DAY(EOMONTH(M$5,0))))&lt;=M$6)*(MOD((YEAR(M$5)-YEAR($F17))*12+MONTH(M$5)-MONTH($F17),3)=0)+(MONTH(M$6)&lt;&gt;MONTH(M$5))*(DATE(YEAR(M$6),MONTH(M$6),MIN(DAY($F17),DAY(EOMONTH(M$6,0))))&gt;=$F17)*(DATE(YEAR(M$6),MONTH(M$6),MIN(DAY($F17),DAY(EOMONTH(M$6,0))))&gt;=M$5)*(DATE(YEAR(M$6),MONTH(M$6),MIN(DAY($F17),DAY(EOMONTH(M$6,0))))&lt;=M$6)*(MOD((YEAR(M$6)-YEAR($F17))*12+MONTH(M$6)-MONTH($F17),3)=0)),IF($D17="One-off",($F17&gt;=M$5)*($F17&lt;=M$6),0))))))</f>
        <v>0</v>
      </c>
      <c r="N17" s="19">
        <f>IF(OR($E17="",$F17="",$D17=""),0,IF(OR($C17="Loan and finance repayments",$C17="VAT and taxes",$C17="Capital expenditure",$C17="Licences and regulatory fees"),1,1+CostAdj)*$E17*IF($D17="Weekly",(MAX(0,INT((N$6-$F17)/7)+1)-MAX(0,INT((N$5-1-$F17)/7)+1)),IF($D17="Fortnightly",(MAX(0,INT((N$6-$F17)/14)+1)-MAX(0,INT((N$5-1-$F17)/14)+1)),IF($D17="Monthly",((DATE(YEAR(N$5),MONTH(N$5),MIN(DAY($F17),DAY(EOMONTH(N$5,0))))&gt;=MAX(N$5,$F17))*(DATE(YEAR(N$5),MONTH(N$5),MIN(DAY($F17),DAY(EOMONTH(N$5,0))))&lt;=N$6)*(MOD((YEAR(N$5)-YEAR($F17))*12+MONTH(N$5)-MONTH($F17),1)=0)+(MONTH(N$6)&lt;&gt;MONTH(N$5))*(DATE(YEAR(N$6),MONTH(N$6),MIN(DAY($F17),DAY(EOMONTH(N$6,0))))&gt;=$F17)*(DATE(YEAR(N$6),MONTH(N$6),MIN(DAY($F17),DAY(EOMONTH(N$6,0))))&gt;=N$5)*(DATE(YEAR(N$6),MONTH(N$6),MIN(DAY($F17),DAY(EOMONTH(N$6,0))))&lt;=N$6)*(MOD((YEAR(N$6)-YEAR($F17))*12+MONTH(N$6)-MONTH($F17),1)=0)),IF($D17="Quarterly",((DATE(YEAR(N$5),MONTH(N$5),MIN(DAY($F17),DAY(EOMONTH(N$5,0))))&gt;=MAX(N$5,$F17))*(DATE(YEAR(N$5),MONTH(N$5),MIN(DAY($F17),DAY(EOMONTH(N$5,0))))&lt;=N$6)*(MOD((YEAR(N$5)-YEAR($F17))*12+MONTH(N$5)-MONTH($F17),3)=0)+(MONTH(N$6)&lt;&gt;MONTH(N$5))*(DATE(YEAR(N$6),MONTH(N$6),MIN(DAY($F17),DAY(EOMONTH(N$6,0))))&gt;=$F17)*(DATE(YEAR(N$6),MONTH(N$6),MIN(DAY($F17),DAY(EOMONTH(N$6,0))))&gt;=N$5)*(DATE(YEAR(N$6),MONTH(N$6),MIN(DAY($F17),DAY(EOMONTH(N$6,0))))&lt;=N$6)*(MOD((YEAR(N$6)-YEAR($F17))*12+MONTH(N$6)-MONTH($F17),3)=0)),IF($D17="One-off",($F17&gt;=N$5)*($F17&lt;=N$6),0))))))</f>
        <v>35000</v>
      </c>
      <c r="O17" s="19">
        <f>IF(OR($E17="",$F17="",$D17=""),0,IF(OR($C17="Loan and finance repayments",$C17="VAT and taxes",$C17="Capital expenditure",$C17="Licences and regulatory fees"),1,1+CostAdj)*$E17*IF($D17="Weekly",(MAX(0,INT((O$6-$F17)/7)+1)-MAX(0,INT((O$5-1-$F17)/7)+1)),IF($D17="Fortnightly",(MAX(0,INT((O$6-$F17)/14)+1)-MAX(0,INT((O$5-1-$F17)/14)+1)),IF($D17="Monthly",((DATE(YEAR(O$5),MONTH(O$5),MIN(DAY($F17),DAY(EOMONTH(O$5,0))))&gt;=MAX(O$5,$F17))*(DATE(YEAR(O$5),MONTH(O$5),MIN(DAY($F17),DAY(EOMONTH(O$5,0))))&lt;=O$6)*(MOD((YEAR(O$5)-YEAR($F17))*12+MONTH(O$5)-MONTH($F17),1)=0)+(MONTH(O$6)&lt;&gt;MONTH(O$5))*(DATE(YEAR(O$6),MONTH(O$6),MIN(DAY($F17),DAY(EOMONTH(O$6,0))))&gt;=$F17)*(DATE(YEAR(O$6),MONTH(O$6),MIN(DAY($F17),DAY(EOMONTH(O$6,0))))&gt;=O$5)*(DATE(YEAR(O$6),MONTH(O$6),MIN(DAY($F17),DAY(EOMONTH(O$6,0))))&lt;=O$6)*(MOD((YEAR(O$6)-YEAR($F17))*12+MONTH(O$6)-MONTH($F17),1)=0)),IF($D17="Quarterly",((DATE(YEAR(O$5),MONTH(O$5),MIN(DAY($F17),DAY(EOMONTH(O$5,0))))&gt;=MAX(O$5,$F17))*(DATE(YEAR(O$5),MONTH(O$5),MIN(DAY($F17),DAY(EOMONTH(O$5,0))))&lt;=O$6)*(MOD((YEAR(O$5)-YEAR($F17))*12+MONTH(O$5)-MONTH($F17),3)=0)+(MONTH(O$6)&lt;&gt;MONTH(O$5))*(DATE(YEAR(O$6),MONTH(O$6),MIN(DAY($F17),DAY(EOMONTH(O$6,0))))&gt;=$F17)*(DATE(YEAR(O$6),MONTH(O$6),MIN(DAY($F17),DAY(EOMONTH(O$6,0))))&gt;=O$5)*(DATE(YEAR(O$6),MONTH(O$6),MIN(DAY($F17),DAY(EOMONTH(O$6,0))))&lt;=O$6)*(MOD((YEAR(O$6)-YEAR($F17))*12+MONTH(O$6)-MONTH($F17),3)=0)),IF($D17="One-off",($F17&gt;=O$5)*($F17&lt;=O$6),0))))))</f>
        <v>0</v>
      </c>
      <c r="P17" s="19">
        <f>IF(OR($E17="",$F17="",$D17=""),0,IF(OR($C17="Loan and finance repayments",$C17="VAT and taxes",$C17="Capital expenditure",$C17="Licences and regulatory fees"),1,1+CostAdj)*$E17*IF($D17="Weekly",(MAX(0,INT((P$6-$F17)/7)+1)-MAX(0,INT((P$5-1-$F17)/7)+1)),IF($D17="Fortnightly",(MAX(0,INT((P$6-$F17)/14)+1)-MAX(0,INT((P$5-1-$F17)/14)+1)),IF($D17="Monthly",((DATE(YEAR(P$5),MONTH(P$5),MIN(DAY($F17),DAY(EOMONTH(P$5,0))))&gt;=MAX(P$5,$F17))*(DATE(YEAR(P$5),MONTH(P$5),MIN(DAY($F17),DAY(EOMONTH(P$5,0))))&lt;=P$6)*(MOD((YEAR(P$5)-YEAR($F17))*12+MONTH(P$5)-MONTH($F17),1)=0)+(MONTH(P$6)&lt;&gt;MONTH(P$5))*(DATE(YEAR(P$6),MONTH(P$6),MIN(DAY($F17),DAY(EOMONTH(P$6,0))))&gt;=$F17)*(DATE(YEAR(P$6),MONTH(P$6),MIN(DAY($F17),DAY(EOMONTH(P$6,0))))&gt;=P$5)*(DATE(YEAR(P$6),MONTH(P$6),MIN(DAY($F17),DAY(EOMONTH(P$6,0))))&lt;=P$6)*(MOD((YEAR(P$6)-YEAR($F17))*12+MONTH(P$6)-MONTH($F17),1)=0)),IF($D17="Quarterly",((DATE(YEAR(P$5),MONTH(P$5),MIN(DAY($F17),DAY(EOMONTH(P$5,0))))&gt;=MAX(P$5,$F17))*(DATE(YEAR(P$5),MONTH(P$5),MIN(DAY($F17),DAY(EOMONTH(P$5,0))))&lt;=P$6)*(MOD((YEAR(P$5)-YEAR($F17))*12+MONTH(P$5)-MONTH($F17),3)=0)+(MONTH(P$6)&lt;&gt;MONTH(P$5))*(DATE(YEAR(P$6),MONTH(P$6),MIN(DAY($F17),DAY(EOMONTH(P$6,0))))&gt;=$F17)*(DATE(YEAR(P$6),MONTH(P$6),MIN(DAY($F17),DAY(EOMONTH(P$6,0))))&gt;=P$5)*(DATE(YEAR(P$6),MONTH(P$6),MIN(DAY($F17),DAY(EOMONTH(P$6,0))))&lt;=P$6)*(MOD((YEAR(P$6)-YEAR($F17))*12+MONTH(P$6)-MONTH($F17),3)=0)),IF($D17="One-off",($F17&gt;=P$5)*($F17&lt;=P$6),0))))))</f>
        <v>0</v>
      </c>
      <c r="Q17" s="19">
        <f>IF(OR($E17="",$F17="",$D17=""),0,IF(OR($C17="Loan and finance repayments",$C17="VAT and taxes",$C17="Capital expenditure",$C17="Licences and regulatory fees"),1,1+CostAdj)*$E17*IF($D17="Weekly",(MAX(0,INT((Q$6-$F17)/7)+1)-MAX(0,INT((Q$5-1-$F17)/7)+1)),IF($D17="Fortnightly",(MAX(0,INT((Q$6-$F17)/14)+1)-MAX(0,INT((Q$5-1-$F17)/14)+1)),IF($D17="Monthly",((DATE(YEAR(Q$5),MONTH(Q$5),MIN(DAY($F17),DAY(EOMONTH(Q$5,0))))&gt;=MAX(Q$5,$F17))*(DATE(YEAR(Q$5),MONTH(Q$5),MIN(DAY($F17),DAY(EOMONTH(Q$5,0))))&lt;=Q$6)*(MOD((YEAR(Q$5)-YEAR($F17))*12+MONTH(Q$5)-MONTH($F17),1)=0)+(MONTH(Q$6)&lt;&gt;MONTH(Q$5))*(DATE(YEAR(Q$6),MONTH(Q$6),MIN(DAY($F17),DAY(EOMONTH(Q$6,0))))&gt;=$F17)*(DATE(YEAR(Q$6),MONTH(Q$6),MIN(DAY($F17),DAY(EOMONTH(Q$6,0))))&gt;=Q$5)*(DATE(YEAR(Q$6),MONTH(Q$6),MIN(DAY($F17),DAY(EOMONTH(Q$6,0))))&lt;=Q$6)*(MOD((YEAR(Q$6)-YEAR($F17))*12+MONTH(Q$6)-MONTH($F17),1)=0)),IF($D17="Quarterly",((DATE(YEAR(Q$5),MONTH(Q$5),MIN(DAY($F17),DAY(EOMONTH(Q$5,0))))&gt;=MAX(Q$5,$F17))*(DATE(YEAR(Q$5),MONTH(Q$5),MIN(DAY($F17),DAY(EOMONTH(Q$5,0))))&lt;=Q$6)*(MOD((YEAR(Q$5)-YEAR($F17))*12+MONTH(Q$5)-MONTH($F17),3)=0)+(MONTH(Q$6)&lt;&gt;MONTH(Q$5))*(DATE(YEAR(Q$6),MONTH(Q$6),MIN(DAY($F17),DAY(EOMONTH(Q$6,0))))&gt;=$F17)*(DATE(YEAR(Q$6),MONTH(Q$6),MIN(DAY($F17),DAY(EOMONTH(Q$6,0))))&gt;=Q$5)*(DATE(YEAR(Q$6),MONTH(Q$6),MIN(DAY($F17),DAY(EOMONTH(Q$6,0))))&lt;=Q$6)*(MOD((YEAR(Q$6)-YEAR($F17))*12+MONTH(Q$6)-MONTH($F17),3)=0)),IF($D17="One-off",($F17&gt;=Q$5)*($F17&lt;=Q$6),0))))))</f>
        <v>0</v>
      </c>
      <c r="R17" s="19">
        <f>IF(OR($E17="",$F17="",$D17=""),0,IF(OR($C17="Loan and finance repayments",$C17="VAT and taxes",$C17="Capital expenditure",$C17="Licences and regulatory fees"),1,1+CostAdj)*$E17*IF($D17="Weekly",(MAX(0,INT((R$6-$F17)/7)+1)-MAX(0,INT((R$5-1-$F17)/7)+1)),IF($D17="Fortnightly",(MAX(0,INT((R$6-$F17)/14)+1)-MAX(0,INT((R$5-1-$F17)/14)+1)),IF($D17="Monthly",((DATE(YEAR(R$5),MONTH(R$5),MIN(DAY($F17),DAY(EOMONTH(R$5,0))))&gt;=MAX(R$5,$F17))*(DATE(YEAR(R$5),MONTH(R$5),MIN(DAY($F17),DAY(EOMONTH(R$5,0))))&lt;=R$6)*(MOD((YEAR(R$5)-YEAR($F17))*12+MONTH(R$5)-MONTH($F17),1)=0)+(MONTH(R$6)&lt;&gt;MONTH(R$5))*(DATE(YEAR(R$6),MONTH(R$6),MIN(DAY($F17),DAY(EOMONTH(R$6,0))))&gt;=$F17)*(DATE(YEAR(R$6),MONTH(R$6),MIN(DAY($F17),DAY(EOMONTH(R$6,0))))&gt;=R$5)*(DATE(YEAR(R$6),MONTH(R$6),MIN(DAY($F17),DAY(EOMONTH(R$6,0))))&lt;=R$6)*(MOD((YEAR(R$6)-YEAR($F17))*12+MONTH(R$6)-MONTH($F17),1)=0)),IF($D17="Quarterly",((DATE(YEAR(R$5),MONTH(R$5),MIN(DAY($F17),DAY(EOMONTH(R$5,0))))&gt;=MAX(R$5,$F17))*(DATE(YEAR(R$5),MONTH(R$5),MIN(DAY($F17),DAY(EOMONTH(R$5,0))))&lt;=R$6)*(MOD((YEAR(R$5)-YEAR($F17))*12+MONTH(R$5)-MONTH($F17),3)=0)+(MONTH(R$6)&lt;&gt;MONTH(R$5))*(DATE(YEAR(R$6),MONTH(R$6),MIN(DAY($F17),DAY(EOMONTH(R$6,0))))&gt;=$F17)*(DATE(YEAR(R$6),MONTH(R$6),MIN(DAY($F17),DAY(EOMONTH(R$6,0))))&gt;=R$5)*(DATE(YEAR(R$6),MONTH(R$6),MIN(DAY($F17),DAY(EOMONTH(R$6,0))))&lt;=R$6)*(MOD((YEAR(R$6)-YEAR($F17))*12+MONTH(R$6)-MONTH($F17),3)=0)),IF($D17="One-off",($F17&gt;=R$5)*($F17&lt;=R$6),0))))))</f>
        <v>0</v>
      </c>
      <c r="S17" s="19">
        <f>IF(OR($E17="",$F17="",$D17=""),0,IF(OR($C17="Loan and finance repayments",$C17="VAT and taxes",$C17="Capital expenditure",$C17="Licences and regulatory fees"),1,1+CostAdj)*$E17*IF($D17="Weekly",(MAX(0,INT((S$6-$F17)/7)+1)-MAX(0,INT((S$5-1-$F17)/7)+1)),IF($D17="Fortnightly",(MAX(0,INT((S$6-$F17)/14)+1)-MAX(0,INT((S$5-1-$F17)/14)+1)),IF($D17="Monthly",((DATE(YEAR(S$5),MONTH(S$5),MIN(DAY($F17),DAY(EOMONTH(S$5,0))))&gt;=MAX(S$5,$F17))*(DATE(YEAR(S$5),MONTH(S$5),MIN(DAY($F17),DAY(EOMONTH(S$5,0))))&lt;=S$6)*(MOD((YEAR(S$5)-YEAR($F17))*12+MONTH(S$5)-MONTH($F17),1)=0)+(MONTH(S$6)&lt;&gt;MONTH(S$5))*(DATE(YEAR(S$6),MONTH(S$6),MIN(DAY($F17),DAY(EOMONTH(S$6,0))))&gt;=$F17)*(DATE(YEAR(S$6),MONTH(S$6),MIN(DAY($F17),DAY(EOMONTH(S$6,0))))&gt;=S$5)*(DATE(YEAR(S$6),MONTH(S$6),MIN(DAY($F17),DAY(EOMONTH(S$6,0))))&lt;=S$6)*(MOD((YEAR(S$6)-YEAR($F17))*12+MONTH(S$6)-MONTH($F17),1)=0)),IF($D17="Quarterly",((DATE(YEAR(S$5),MONTH(S$5),MIN(DAY($F17),DAY(EOMONTH(S$5,0))))&gt;=MAX(S$5,$F17))*(DATE(YEAR(S$5),MONTH(S$5),MIN(DAY($F17),DAY(EOMONTH(S$5,0))))&lt;=S$6)*(MOD((YEAR(S$5)-YEAR($F17))*12+MONTH(S$5)-MONTH($F17),3)=0)+(MONTH(S$6)&lt;&gt;MONTH(S$5))*(DATE(YEAR(S$6),MONTH(S$6),MIN(DAY($F17),DAY(EOMONTH(S$6,0))))&gt;=$F17)*(DATE(YEAR(S$6),MONTH(S$6),MIN(DAY($F17),DAY(EOMONTH(S$6,0))))&gt;=S$5)*(DATE(YEAR(S$6),MONTH(S$6),MIN(DAY($F17),DAY(EOMONTH(S$6,0))))&lt;=S$6)*(MOD((YEAR(S$6)-YEAR($F17))*12+MONTH(S$6)-MONTH($F17),3)=0)),IF($D17="One-off",($F17&gt;=S$5)*($F17&lt;=S$6),0))))))</f>
        <v>0</v>
      </c>
      <c r="T17" s="19">
        <f>IF(OR($E17="",$F17="",$D17=""),0,IF(OR($C17="Loan and finance repayments",$C17="VAT and taxes",$C17="Capital expenditure",$C17="Licences and regulatory fees"),1,1+CostAdj)*$E17*IF($D17="Weekly",(MAX(0,INT((T$6-$F17)/7)+1)-MAX(0,INT((T$5-1-$F17)/7)+1)),IF($D17="Fortnightly",(MAX(0,INT((T$6-$F17)/14)+1)-MAX(0,INT((T$5-1-$F17)/14)+1)),IF($D17="Monthly",((DATE(YEAR(T$5),MONTH(T$5),MIN(DAY($F17),DAY(EOMONTH(T$5,0))))&gt;=MAX(T$5,$F17))*(DATE(YEAR(T$5),MONTH(T$5),MIN(DAY($F17),DAY(EOMONTH(T$5,0))))&lt;=T$6)*(MOD((YEAR(T$5)-YEAR($F17))*12+MONTH(T$5)-MONTH($F17),1)=0)+(MONTH(T$6)&lt;&gt;MONTH(T$5))*(DATE(YEAR(T$6),MONTH(T$6),MIN(DAY($F17),DAY(EOMONTH(T$6,0))))&gt;=$F17)*(DATE(YEAR(T$6),MONTH(T$6),MIN(DAY($F17),DAY(EOMONTH(T$6,0))))&gt;=T$5)*(DATE(YEAR(T$6),MONTH(T$6),MIN(DAY($F17),DAY(EOMONTH(T$6,0))))&lt;=T$6)*(MOD((YEAR(T$6)-YEAR($F17))*12+MONTH(T$6)-MONTH($F17),1)=0)),IF($D17="Quarterly",((DATE(YEAR(T$5),MONTH(T$5),MIN(DAY($F17),DAY(EOMONTH(T$5,0))))&gt;=MAX(T$5,$F17))*(DATE(YEAR(T$5),MONTH(T$5),MIN(DAY($F17),DAY(EOMONTH(T$5,0))))&lt;=T$6)*(MOD((YEAR(T$5)-YEAR($F17))*12+MONTH(T$5)-MONTH($F17),3)=0)+(MONTH(T$6)&lt;&gt;MONTH(T$5))*(DATE(YEAR(T$6),MONTH(T$6),MIN(DAY($F17),DAY(EOMONTH(T$6,0))))&gt;=$F17)*(DATE(YEAR(T$6),MONTH(T$6),MIN(DAY($F17),DAY(EOMONTH(T$6,0))))&gt;=T$5)*(DATE(YEAR(T$6),MONTH(T$6),MIN(DAY($F17),DAY(EOMONTH(T$6,0))))&lt;=T$6)*(MOD((YEAR(T$6)-YEAR($F17))*12+MONTH(T$6)-MONTH($F17),3)=0)),IF($D17="One-off",($F17&gt;=T$5)*($F17&lt;=T$6),0))))))</f>
        <v>0</v>
      </c>
      <c r="U17" s="36">
        <f>SUM(H17:T17)</f>
        <v>35000</v>
      </c>
    </row>
    <row r="18" spans="1:21">
      <c r="A18" s="42">
        <v>10</v>
      </c>
      <c r="B18" s="7" t="s">
        <v>140</v>
      </c>
      <c r="C18" s="7" t="s">
        <v>6</v>
      </c>
      <c r="D18" s="7" t="s">
        <v>15</v>
      </c>
      <c r="E18" s="18">
        <v>9500</v>
      </c>
      <c r="F18" s="17">
        <v>46298</v>
      </c>
      <c r="G18" s="7" t="s">
        <v>141</v>
      </c>
      <c r="H18" s="19">
        <f>IF(OR($E18="",$F18="",$D18=""),0,IF(OR($C18="Loan and finance repayments",$C18="VAT and taxes",$C18="Capital expenditure",$C18="Licences and regulatory fees"),1,1+CostAdj)*$E18*IF($D18="Weekly",(MAX(0,INT((H$6-$F18)/7)+1)-MAX(0,INT((H$5-1-$F18)/7)+1)),IF($D18="Fortnightly",(MAX(0,INT((H$6-$F18)/14)+1)-MAX(0,INT((H$5-1-$F18)/14)+1)),IF($D18="Monthly",((DATE(YEAR(H$5),MONTH(H$5),MIN(DAY($F18),DAY(EOMONTH(H$5,0))))&gt;=MAX(H$5,$F18))*(DATE(YEAR(H$5),MONTH(H$5),MIN(DAY($F18),DAY(EOMONTH(H$5,0))))&lt;=H$6)*(MOD((YEAR(H$5)-YEAR($F18))*12+MONTH(H$5)-MONTH($F18),1)=0)+(MONTH(H$6)&lt;&gt;MONTH(H$5))*(DATE(YEAR(H$6),MONTH(H$6),MIN(DAY($F18),DAY(EOMONTH(H$6,0))))&gt;=$F18)*(DATE(YEAR(H$6),MONTH(H$6),MIN(DAY($F18),DAY(EOMONTH(H$6,0))))&gt;=H$5)*(DATE(YEAR(H$6),MONTH(H$6),MIN(DAY($F18),DAY(EOMONTH(H$6,0))))&lt;=H$6)*(MOD((YEAR(H$6)-YEAR($F18))*12+MONTH(H$6)-MONTH($F18),1)=0)),IF($D18="Quarterly",((DATE(YEAR(H$5),MONTH(H$5),MIN(DAY($F18),DAY(EOMONTH(H$5,0))))&gt;=MAX(H$5,$F18))*(DATE(YEAR(H$5),MONTH(H$5),MIN(DAY($F18),DAY(EOMONTH(H$5,0))))&lt;=H$6)*(MOD((YEAR(H$5)-YEAR($F18))*12+MONTH(H$5)-MONTH($F18),3)=0)+(MONTH(H$6)&lt;&gt;MONTH(H$5))*(DATE(YEAR(H$6),MONTH(H$6),MIN(DAY($F18),DAY(EOMONTH(H$6,0))))&gt;=$F18)*(DATE(YEAR(H$6),MONTH(H$6),MIN(DAY($F18),DAY(EOMONTH(H$6,0))))&gt;=H$5)*(DATE(YEAR(H$6),MONTH(H$6),MIN(DAY($F18),DAY(EOMONTH(H$6,0))))&lt;=H$6)*(MOD((YEAR(H$6)-YEAR($F18))*12+MONTH(H$6)-MONTH($F18),3)=0)),IF($D18="One-off",($F18&gt;=H$5)*($F18&lt;=H$6),0))))))</f>
        <v>0</v>
      </c>
      <c r="I18" s="19">
        <f>IF(OR($E18="",$F18="",$D18=""),0,IF(OR($C18="Loan and finance repayments",$C18="VAT and taxes",$C18="Capital expenditure",$C18="Licences and regulatory fees"),1,1+CostAdj)*$E18*IF($D18="Weekly",(MAX(0,INT((I$6-$F18)/7)+1)-MAX(0,INT((I$5-1-$F18)/7)+1)),IF($D18="Fortnightly",(MAX(0,INT((I$6-$F18)/14)+1)-MAX(0,INT((I$5-1-$F18)/14)+1)),IF($D18="Monthly",((DATE(YEAR(I$5),MONTH(I$5),MIN(DAY($F18),DAY(EOMONTH(I$5,0))))&gt;=MAX(I$5,$F18))*(DATE(YEAR(I$5),MONTH(I$5),MIN(DAY($F18),DAY(EOMONTH(I$5,0))))&lt;=I$6)*(MOD((YEAR(I$5)-YEAR($F18))*12+MONTH(I$5)-MONTH($F18),1)=0)+(MONTH(I$6)&lt;&gt;MONTH(I$5))*(DATE(YEAR(I$6),MONTH(I$6),MIN(DAY($F18),DAY(EOMONTH(I$6,0))))&gt;=$F18)*(DATE(YEAR(I$6),MONTH(I$6),MIN(DAY($F18),DAY(EOMONTH(I$6,0))))&gt;=I$5)*(DATE(YEAR(I$6),MONTH(I$6),MIN(DAY($F18),DAY(EOMONTH(I$6,0))))&lt;=I$6)*(MOD((YEAR(I$6)-YEAR($F18))*12+MONTH(I$6)-MONTH($F18),1)=0)),IF($D18="Quarterly",((DATE(YEAR(I$5),MONTH(I$5),MIN(DAY($F18),DAY(EOMONTH(I$5,0))))&gt;=MAX(I$5,$F18))*(DATE(YEAR(I$5),MONTH(I$5),MIN(DAY($F18),DAY(EOMONTH(I$5,0))))&lt;=I$6)*(MOD((YEAR(I$5)-YEAR($F18))*12+MONTH(I$5)-MONTH($F18),3)=0)+(MONTH(I$6)&lt;&gt;MONTH(I$5))*(DATE(YEAR(I$6),MONTH(I$6),MIN(DAY($F18),DAY(EOMONTH(I$6,0))))&gt;=$F18)*(DATE(YEAR(I$6),MONTH(I$6),MIN(DAY($F18),DAY(EOMONTH(I$6,0))))&gt;=I$5)*(DATE(YEAR(I$6),MONTH(I$6),MIN(DAY($F18),DAY(EOMONTH(I$6,0))))&lt;=I$6)*(MOD((YEAR(I$6)-YEAR($F18))*12+MONTH(I$6)-MONTH($F18),3)=0)),IF($D18="One-off",($F18&gt;=I$5)*($F18&lt;=I$6),0))))))</f>
        <v>0</v>
      </c>
      <c r="J18" s="19">
        <f>IF(OR($E18="",$F18="",$D18=""),0,IF(OR($C18="Loan and finance repayments",$C18="VAT and taxes",$C18="Capital expenditure",$C18="Licences and regulatory fees"),1,1+CostAdj)*$E18*IF($D18="Weekly",(MAX(0,INT((J$6-$F18)/7)+1)-MAX(0,INT((J$5-1-$F18)/7)+1)),IF($D18="Fortnightly",(MAX(0,INT((J$6-$F18)/14)+1)-MAX(0,INT((J$5-1-$F18)/14)+1)),IF($D18="Monthly",((DATE(YEAR(J$5),MONTH(J$5),MIN(DAY($F18),DAY(EOMONTH(J$5,0))))&gt;=MAX(J$5,$F18))*(DATE(YEAR(J$5),MONTH(J$5),MIN(DAY($F18),DAY(EOMONTH(J$5,0))))&lt;=J$6)*(MOD((YEAR(J$5)-YEAR($F18))*12+MONTH(J$5)-MONTH($F18),1)=0)+(MONTH(J$6)&lt;&gt;MONTH(J$5))*(DATE(YEAR(J$6),MONTH(J$6),MIN(DAY($F18),DAY(EOMONTH(J$6,0))))&gt;=$F18)*(DATE(YEAR(J$6),MONTH(J$6),MIN(DAY($F18),DAY(EOMONTH(J$6,0))))&gt;=J$5)*(DATE(YEAR(J$6),MONTH(J$6),MIN(DAY($F18),DAY(EOMONTH(J$6,0))))&lt;=J$6)*(MOD((YEAR(J$6)-YEAR($F18))*12+MONTH(J$6)-MONTH($F18),1)=0)),IF($D18="Quarterly",((DATE(YEAR(J$5),MONTH(J$5),MIN(DAY($F18),DAY(EOMONTH(J$5,0))))&gt;=MAX(J$5,$F18))*(DATE(YEAR(J$5),MONTH(J$5),MIN(DAY($F18),DAY(EOMONTH(J$5,0))))&lt;=J$6)*(MOD((YEAR(J$5)-YEAR($F18))*12+MONTH(J$5)-MONTH($F18),3)=0)+(MONTH(J$6)&lt;&gt;MONTH(J$5))*(DATE(YEAR(J$6),MONTH(J$6),MIN(DAY($F18),DAY(EOMONTH(J$6,0))))&gt;=$F18)*(DATE(YEAR(J$6),MONTH(J$6),MIN(DAY($F18),DAY(EOMONTH(J$6,0))))&gt;=J$5)*(DATE(YEAR(J$6),MONTH(J$6),MIN(DAY($F18),DAY(EOMONTH(J$6,0))))&lt;=J$6)*(MOD((YEAR(J$6)-YEAR($F18))*12+MONTH(J$6)-MONTH($F18),3)=0)),IF($D18="One-off",($F18&gt;=J$5)*($F18&lt;=J$6),0))))))</f>
        <v>0</v>
      </c>
      <c r="K18" s="19">
        <f>IF(OR($E18="",$F18="",$D18=""),0,IF(OR($C18="Loan and finance repayments",$C18="VAT and taxes",$C18="Capital expenditure",$C18="Licences and regulatory fees"),1,1+CostAdj)*$E18*IF($D18="Weekly",(MAX(0,INT((K$6-$F18)/7)+1)-MAX(0,INT((K$5-1-$F18)/7)+1)),IF($D18="Fortnightly",(MAX(0,INT((K$6-$F18)/14)+1)-MAX(0,INT((K$5-1-$F18)/14)+1)),IF($D18="Monthly",((DATE(YEAR(K$5),MONTH(K$5),MIN(DAY($F18),DAY(EOMONTH(K$5,0))))&gt;=MAX(K$5,$F18))*(DATE(YEAR(K$5),MONTH(K$5),MIN(DAY($F18),DAY(EOMONTH(K$5,0))))&lt;=K$6)*(MOD((YEAR(K$5)-YEAR($F18))*12+MONTH(K$5)-MONTH($F18),1)=0)+(MONTH(K$6)&lt;&gt;MONTH(K$5))*(DATE(YEAR(K$6),MONTH(K$6),MIN(DAY($F18),DAY(EOMONTH(K$6,0))))&gt;=$F18)*(DATE(YEAR(K$6),MONTH(K$6),MIN(DAY($F18),DAY(EOMONTH(K$6,0))))&gt;=K$5)*(DATE(YEAR(K$6),MONTH(K$6),MIN(DAY($F18),DAY(EOMONTH(K$6,0))))&lt;=K$6)*(MOD((YEAR(K$6)-YEAR($F18))*12+MONTH(K$6)-MONTH($F18),1)=0)),IF($D18="Quarterly",((DATE(YEAR(K$5),MONTH(K$5),MIN(DAY($F18),DAY(EOMONTH(K$5,0))))&gt;=MAX(K$5,$F18))*(DATE(YEAR(K$5),MONTH(K$5),MIN(DAY($F18),DAY(EOMONTH(K$5,0))))&lt;=K$6)*(MOD((YEAR(K$5)-YEAR($F18))*12+MONTH(K$5)-MONTH($F18),3)=0)+(MONTH(K$6)&lt;&gt;MONTH(K$5))*(DATE(YEAR(K$6),MONTH(K$6),MIN(DAY($F18),DAY(EOMONTH(K$6,0))))&gt;=$F18)*(DATE(YEAR(K$6),MONTH(K$6),MIN(DAY($F18),DAY(EOMONTH(K$6,0))))&gt;=K$5)*(DATE(YEAR(K$6),MONTH(K$6),MIN(DAY($F18),DAY(EOMONTH(K$6,0))))&lt;=K$6)*(MOD((YEAR(K$6)-YEAR($F18))*12+MONTH(K$6)-MONTH($F18),3)=0)),IF($D18="One-off",($F18&gt;=K$5)*($F18&lt;=K$6),0))))))</f>
        <v>0</v>
      </c>
      <c r="L18" s="19">
        <f>IF(OR($E18="",$F18="",$D18=""),0,IF(OR($C18="Loan and finance repayments",$C18="VAT and taxes",$C18="Capital expenditure",$C18="Licences and regulatory fees"),1,1+CostAdj)*$E18*IF($D18="Weekly",(MAX(0,INT((L$6-$F18)/7)+1)-MAX(0,INT((L$5-1-$F18)/7)+1)),IF($D18="Fortnightly",(MAX(0,INT((L$6-$F18)/14)+1)-MAX(0,INT((L$5-1-$F18)/14)+1)),IF($D18="Monthly",((DATE(YEAR(L$5),MONTH(L$5),MIN(DAY($F18),DAY(EOMONTH(L$5,0))))&gt;=MAX(L$5,$F18))*(DATE(YEAR(L$5),MONTH(L$5),MIN(DAY($F18),DAY(EOMONTH(L$5,0))))&lt;=L$6)*(MOD((YEAR(L$5)-YEAR($F18))*12+MONTH(L$5)-MONTH($F18),1)=0)+(MONTH(L$6)&lt;&gt;MONTH(L$5))*(DATE(YEAR(L$6),MONTH(L$6),MIN(DAY($F18),DAY(EOMONTH(L$6,0))))&gt;=$F18)*(DATE(YEAR(L$6),MONTH(L$6),MIN(DAY($F18),DAY(EOMONTH(L$6,0))))&gt;=L$5)*(DATE(YEAR(L$6),MONTH(L$6),MIN(DAY($F18),DAY(EOMONTH(L$6,0))))&lt;=L$6)*(MOD((YEAR(L$6)-YEAR($F18))*12+MONTH(L$6)-MONTH($F18),1)=0)),IF($D18="Quarterly",((DATE(YEAR(L$5),MONTH(L$5),MIN(DAY($F18),DAY(EOMONTH(L$5,0))))&gt;=MAX(L$5,$F18))*(DATE(YEAR(L$5),MONTH(L$5),MIN(DAY($F18),DAY(EOMONTH(L$5,0))))&lt;=L$6)*(MOD((YEAR(L$5)-YEAR($F18))*12+MONTH(L$5)-MONTH($F18),3)=0)+(MONTH(L$6)&lt;&gt;MONTH(L$5))*(DATE(YEAR(L$6),MONTH(L$6),MIN(DAY($F18),DAY(EOMONTH(L$6,0))))&gt;=$F18)*(DATE(YEAR(L$6),MONTH(L$6),MIN(DAY($F18),DAY(EOMONTH(L$6,0))))&gt;=L$5)*(DATE(YEAR(L$6),MONTH(L$6),MIN(DAY($F18),DAY(EOMONTH(L$6,0))))&lt;=L$6)*(MOD((YEAR(L$6)-YEAR($F18))*12+MONTH(L$6)-MONTH($F18),3)=0)),IF($D18="One-off",($F18&gt;=L$5)*($F18&lt;=L$6),0))))))</f>
        <v>9500</v>
      </c>
      <c r="M18" s="19">
        <f>IF(OR($E18="",$F18="",$D18=""),0,IF(OR($C18="Loan and finance repayments",$C18="VAT and taxes",$C18="Capital expenditure",$C18="Licences and regulatory fees"),1,1+CostAdj)*$E18*IF($D18="Weekly",(MAX(0,INT((M$6-$F18)/7)+1)-MAX(0,INT((M$5-1-$F18)/7)+1)),IF($D18="Fortnightly",(MAX(0,INT((M$6-$F18)/14)+1)-MAX(0,INT((M$5-1-$F18)/14)+1)),IF($D18="Monthly",((DATE(YEAR(M$5),MONTH(M$5),MIN(DAY($F18),DAY(EOMONTH(M$5,0))))&gt;=MAX(M$5,$F18))*(DATE(YEAR(M$5),MONTH(M$5),MIN(DAY($F18),DAY(EOMONTH(M$5,0))))&lt;=M$6)*(MOD((YEAR(M$5)-YEAR($F18))*12+MONTH(M$5)-MONTH($F18),1)=0)+(MONTH(M$6)&lt;&gt;MONTH(M$5))*(DATE(YEAR(M$6),MONTH(M$6),MIN(DAY($F18),DAY(EOMONTH(M$6,0))))&gt;=$F18)*(DATE(YEAR(M$6),MONTH(M$6),MIN(DAY($F18),DAY(EOMONTH(M$6,0))))&gt;=M$5)*(DATE(YEAR(M$6),MONTH(M$6),MIN(DAY($F18),DAY(EOMONTH(M$6,0))))&lt;=M$6)*(MOD((YEAR(M$6)-YEAR($F18))*12+MONTH(M$6)-MONTH($F18),1)=0)),IF($D18="Quarterly",((DATE(YEAR(M$5),MONTH(M$5),MIN(DAY($F18),DAY(EOMONTH(M$5,0))))&gt;=MAX(M$5,$F18))*(DATE(YEAR(M$5),MONTH(M$5),MIN(DAY($F18),DAY(EOMONTH(M$5,0))))&lt;=M$6)*(MOD((YEAR(M$5)-YEAR($F18))*12+MONTH(M$5)-MONTH($F18),3)=0)+(MONTH(M$6)&lt;&gt;MONTH(M$5))*(DATE(YEAR(M$6),MONTH(M$6),MIN(DAY($F18),DAY(EOMONTH(M$6,0))))&gt;=$F18)*(DATE(YEAR(M$6),MONTH(M$6),MIN(DAY($F18),DAY(EOMONTH(M$6,0))))&gt;=M$5)*(DATE(YEAR(M$6),MONTH(M$6),MIN(DAY($F18),DAY(EOMONTH(M$6,0))))&lt;=M$6)*(MOD((YEAR(M$6)-YEAR($F18))*12+MONTH(M$6)-MONTH($F18),3)=0)),IF($D18="One-off",($F18&gt;=M$5)*($F18&lt;=M$6),0))))))</f>
        <v>0</v>
      </c>
      <c r="N18" s="19">
        <f>IF(OR($E18="",$F18="",$D18=""),0,IF(OR($C18="Loan and finance repayments",$C18="VAT and taxes",$C18="Capital expenditure",$C18="Licences and regulatory fees"),1,1+CostAdj)*$E18*IF($D18="Weekly",(MAX(0,INT((N$6-$F18)/7)+1)-MAX(0,INT((N$5-1-$F18)/7)+1)),IF($D18="Fortnightly",(MAX(0,INT((N$6-$F18)/14)+1)-MAX(0,INT((N$5-1-$F18)/14)+1)),IF($D18="Monthly",((DATE(YEAR(N$5),MONTH(N$5),MIN(DAY($F18),DAY(EOMONTH(N$5,0))))&gt;=MAX(N$5,$F18))*(DATE(YEAR(N$5),MONTH(N$5),MIN(DAY($F18),DAY(EOMONTH(N$5,0))))&lt;=N$6)*(MOD((YEAR(N$5)-YEAR($F18))*12+MONTH(N$5)-MONTH($F18),1)=0)+(MONTH(N$6)&lt;&gt;MONTH(N$5))*(DATE(YEAR(N$6),MONTH(N$6),MIN(DAY($F18),DAY(EOMONTH(N$6,0))))&gt;=$F18)*(DATE(YEAR(N$6),MONTH(N$6),MIN(DAY($F18),DAY(EOMONTH(N$6,0))))&gt;=N$5)*(DATE(YEAR(N$6),MONTH(N$6),MIN(DAY($F18),DAY(EOMONTH(N$6,0))))&lt;=N$6)*(MOD((YEAR(N$6)-YEAR($F18))*12+MONTH(N$6)-MONTH($F18),1)=0)),IF($D18="Quarterly",((DATE(YEAR(N$5),MONTH(N$5),MIN(DAY($F18),DAY(EOMONTH(N$5,0))))&gt;=MAX(N$5,$F18))*(DATE(YEAR(N$5),MONTH(N$5),MIN(DAY($F18),DAY(EOMONTH(N$5,0))))&lt;=N$6)*(MOD((YEAR(N$5)-YEAR($F18))*12+MONTH(N$5)-MONTH($F18),3)=0)+(MONTH(N$6)&lt;&gt;MONTH(N$5))*(DATE(YEAR(N$6),MONTH(N$6),MIN(DAY($F18),DAY(EOMONTH(N$6,0))))&gt;=$F18)*(DATE(YEAR(N$6),MONTH(N$6),MIN(DAY($F18),DAY(EOMONTH(N$6,0))))&gt;=N$5)*(DATE(YEAR(N$6),MONTH(N$6),MIN(DAY($F18),DAY(EOMONTH(N$6,0))))&lt;=N$6)*(MOD((YEAR(N$6)-YEAR($F18))*12+MONTH(N$6)-MONTH($F18),3)=0)),IF($D18="One-off",($F18&gt;=N$5)*($F18&lt;=N$6),0))))))</f>
        <v>0</v>
      </c>
      <c r="O18" s="19">
        <f>IF(OR($E18="",$F18="",$D18=""),0,IF(OR($C18="Loan and finance repayments",$C18="VAT and taxes",$C18="Capital expenditure",$C18="Licences and regulatory fees"),1,1+CostAdj)*$E18*IF($D18="Weekly",(MAX(0,INT((O$6-$F18)/7)+1)-MAX(0,INT((O$5-1-$F18)/7)+1)),IF($D18="Fortnightly",(MAX(0,INT((O$6-$F18)/14)+1)-MAX(0,INT((O$5-1-$F18)/14)+1)),IF($D18="Monthly",((DATE(YEAR(O$5),MONTH(O$5),MIN(DAY($F18),DAY(EOMONTH(O$5,0))))&gt;=MAX(O$5,$F18))*(DATE(YEAR(O$5),MONTH(O$5),MIN(DAY($F18),DAY(EOMONTH(O$5,0))))&lt;=O$6)*(MOD((YEAR(O$5)-YEAR($F18))*12+MONTH(O$5)-MONTH($F18),1)=0)+(MONTH(O$6)&lt;&gt;MONTH(O$5))*(DATE(YEAR(O$6),MONTH(O$6),MIN(DAY($F18),DAY(EOMONTH(O$6,0))))&gt;=$F18)*(DATE(YEAR(O$6),MONTH(O$6),MIN(DAY($F18),DAY(EOMONTH(O$6,0))))&gt;=O$5)*(DATE(YEAR(O$6),MONTH(O$6),MIN(DAY($F18),DAY(EOMONTH(O$6,0))))&lt;=O$6)*(MOD((YEAR(O$6)-YEAR($F18))*12+MONTH(O$6)-MONTH($F18),1)=0)),IF($D18="Quarterly",((DATE(YEAR(O$5),MONTH(O$5),MIN(DAY($F18),DAY(EOMONTH(O$5,0))))&gt;=MAX(O$5,$F18))*(DATE(YEAR(O$5),MONTH(O$5),MIN(DAY($F18),DAY(EOMONTH(O$5,0))))&lt;=O$6)*(MOD((YEAR(O$5)-YEAR($F18))*12+MONTH(O$5)-MONTH($F18),3)=0)+(MONTH(O$6)&lt;&gt;MONTH(O$5))*(DATE(YEAR(O$6),MONTH(O$6),MIN(DAY($F18),DAY(EOMONTH(O$6,0))))&gt;=$F18)*(DATE(YEAR(O$6),MONTH(O$6),MIN(DAY($F18),DAY(EOMONTH(O$6,0))))&gt;=O$5)*(DATE(YEAR(O$6),MONTH(O$6),MIN(DAY($F18),DAY(EOMONTH(O$6,0))))&lt;=O$6)*(MOD((YEAR(O$6)-YEAR($F18))*12+MONTH(O$6)-MONTH($F18),3)=0)),IF($D18="One-off",($F18&gt;=O$5)*($F18&lt;=O$6),0))))))</f>
        <v>0</v>
      </c>
      <c r="P18" s="19">
        <f>IF(OR($E18="",$F18="",$D18=""),0,IF(OR($C18="Loan and finance repayments",$C18="VAT and taxes",$C18="Capital expenditure",$C18="Licences and regulatory fees"),1,1+CostAdj)*$E18*IF($D18="Weekly",(MAX(0,INT((P$6-$F18)/7)+1)-MAX(0,INT((P$5-1-$F18)/7)+1)),IF($D18="Fortnightly",(MAX(0,INT((P$6-$F18)/14)+1)-MAX(0,INT((P$5-1-$F18)/14)+1)),IF($D18="Monthly",((DATE(YEAR(P$5),MONTH(P$5),MIN(DAY($F18),DAY(EOMONTH(P$5,0))))&gt;=MAX(P$5,$F18))*(DATE(YEAR(P$5),MONTH(P$5),MIN(DAY($F18),DAY(EOMONTH(P$5,0))))&lt;=P$6)*(MOD((YEAR(P$5)-YEAR($F18))*12+MONTH(P$5)-MONTH($F18),1)=0)+(MONTH(P$6)&lt;&gt;MONTH(P$5))*(DATE(YEAR(P$6),MONTH(P$6),MIN(DAY($F18),DAY(EOMONTH(P$6,0))))&gt;=$F18)*(DATE(YEAR(P$6),MONTH(P$6),MIN(DAY($F18),DAY(EOMONTH(P$6,0))))&gt;=P$5)*(DATE(YEAR(P$6),MONTH(P$6),MIN(DAY($F18),DAY(EOMONTH(P$6,0))))&lt;=P$6)*(MOD((YEAR(P$6)-YEAR($F18))*12+MONTH(P$6)-MONTH($F18),1)=0)),IF($D18="Quarterly",((DATE(YEAR(P$5),MONTH(P$5),MIN(DAY($F18),DAY(EOMONTH(P$5,0))))&gt;=MAX(P$5,$F18))*(DATE(YEAR(P$5),MONTH(P$5),MIN(DAY($F18),DAY(EOMONTH(P$5,0))))&lt;=P$6)*(MOD((YEAR(P$5)-YEAR($F18))*12+MONTH(P$5)-MONTH($F18),3)=0)+(MONTH(P$6)&lt;&gt;MONTH(P$5))*(DATE(YEAR(P$6),MONTH(P$6),MIN(DAY($F18),DAY(EOMONTH(P$6,0))))&gt;=$F18)*(DATE(YEAR(P$6),MONTH(P$6),MIN(DAY($F18),DAY(EOMONTH(P$6,0))))&gt;=P$5)*(DATE(YEAR(P$6),MONTH(P$6),MIN(DAY($F18),DAY(EOMONTH(P$6,0))))&lt;=P$6)*(MOD((YEAR(P$6)-YEAR($F18))*12+MONTH(P$6)-MONTH($F18),3)=0)),IF($D18="One-off",($F18&gt;=P$5)*($F18&lt;=P$6),0))))))</f>
        <v>9500</v>
      </c>
      <c r="Q18" s="19">
        <f>IF(OR($E18="",$F18="",$D18=""),0,IF(OR($C18="Loan and finance repayments",$C18="VAT and taxes",$C18="Capital expenditure",$C18="Licences and regulatory fees"),1,1+CostAdj)*$E18*IF($D18="Weekly",(MAX(0,INT((Q$6-$F18)/7)+1)-MAX(0,INT((Q$5-1-$F18)/7)+1)),IF($D18="Fortnightly",(MAX(0,INT((Q$6-$F18)/14)+1)-MAX(0,INT((Q$5-1-$F18)/14)+1)),IF($D18="Monthly",((DATE(YEAR(Q$5),MONTH(Q$5),MIN(DAY($F18),DAY(EOMONTH(Q$5,0))))&gt;=MAX(Q$5,$F18))*(DATE(YEAR(Q$5),MONTH(Q$5),MIN(DAY($F18),DAY(EOMONTH(Q$5,0))))&lt;=Q$6)*(MOD((YEAR(Q$5)-YEAR($F18))*12+MONTH(Q$5)-MONTH($F18),1)=0)+(MONTH(Q$6)&lt;&gt;MONTH(Q$5))*(DATE(YEAR(Q$6),MONTH(Q$6),MIN(DAY($F18),DAY(EOMONTH(Q$6,0))))&gt;=$F18)*(DATE(YEAR(Q$6),MONTH(Q$6),MIN(DAY($F18),DAY(EOMONTH(Q$6,0))))&gt;=Q$5)*(DATE(YEAR(Q$6),MONTH(Q$6),MIN(DAY($F18),DAY(EOMONTH(Q$6,0))))&lt;=Q$6)*(MOD((YEAR(Q$6)-YEAR($F18))*12+MONTH(Q$6)-MONTH($F18),1)=0)),IF($D18="Quarterly",((DATE(YEAR(Q$5),MONTH(Q$5),MIN(DAY($F18),DAY(EOMONTH(Q$5,0))))&gt;=MAX(Q$5,$F18))*(DATE(YEAR(Q$5),MONTH(Q$5),MIN(DAY($F18),DAY(EOMONTH(Q$5,0))))&lt;=Q$6)*(MOD((YEAR(Q$5)-YEAR($F18))*12+MONTH(Q$5)-MONTH($F18),3)=0)+(MONTH(Q$6)&lt;&gt;MONTH(Q$5))*(DATE(YEAR(Q$6),MONTH(Q$6),MIN(DAY($F18),DAY(EOMONTH(Q$6,0))))&gt;=$F18)*(DATE(YEAR(Q$6),MONTH(Q$6),MIN(DAY($F18),DAY(EOMONTH(Q$6,0))))&gt;=Q$5)*(DATE(YEAR(Q$6),MONTH(Q$6),MIN(DAY($F18),DAY(EOMONTH(Q$6,0))))&lt;=Q$6)*(MOD((YEAR(Q$6)-YEAR($F18))*12+MONTH(Q$6)-MONTH($F18),3)=0)),IF($D18="One-off",($F18&gt;=Q$5)*($F18&lt;=Q$6),0))))))</f>
        <v>0</v>
      </c>
      <c r="R18" s="19">
        <f>IF(OR($E18="",$F18="",$D18=""),0,IF(OR($C18="Loan and finance repayments",$C18="VAT and taxes",$C18="Capital expenditure",$C18="Licences and regulatory fees"),1,1+CostAdj)*$E18*IF($D18="Weekly",(MAX(0,INT((R$6-$F18)/7)+1)-MAX(0,INT((R$5-1-$F18)/7)+1)),IF($D18="Fortnightly",(MAX(0,INT((R$6-$F18)/14)+1)-MAX(0,INT((R$5-1-$F18)/14)+1)),IF($D18="Monthly",((DATE(YEAR(R$5),MONTH(R$5),MIN(DAY($F18),DAY(EOMONTH(R$5,0))))&gt;=MAX(R$5,$F18))*(DATE(YEAR(R$5),MONTH(R$5),MIN(DAY($F18),DAY(EOMONTH(R$5,0))))&lt;=R$6)*(MOD((YEAR(R$5)-YEAR($F18))*12+MONTH(R$5)-MONTH($F18),1)=0)+(MONTH(R$6)&lt;&gt;MONTH(R$5))*(DATE(YEAR(R$6),MONTH(R$6),MIN(DAY($F18),DAY(EOMONTH(R$6,0))))&gt;=$F18)*(DATE(YEAR(R$6),MONTH(R$6),MIN(DAY($F18),DAY(EOMONTH(R$6,0))))&gt;=R$5)*(DATE(YEAR(R$6),MONTH(R$6),MIN(DAY($F18),DAY(EOMONTH(R$6,0))))&lt;=R$6)*(MOD((YEAR(R$6)-YEAR($F18))*12+MONTH(R$6)-MONTH($F18),1)=0)),IF($D18="Quarterly",((DATE(YEAR(R$5),MONTH(R$5),MIN(DAY($F18),DAY(EOMONTH(R$5,0))))&gt;=MAX(R$5,$F18))*(DATE(YEAR(R$5),MONTH(R$5),MIN(DAY($F18),DAY(EOMONTH(R$5,0))))&lt;=R$6)*(MOD((YEAR(R$5)-YEAR($F18))*12+MONTH(R$5)-MONTH($F18),3)=0)+(MONTH(R$6)&lt;&gt;MONTH(R$5))*(DATE(YEAR(R$6),MONTH(R$6),MIN(DAY($F18),DAY(EOMONTH(R$6,0))))&gt;=$F18)*(DATE(YEAR(R$6),MONTH(R$6),MIN(DAY($F18),DAY(EOMONTH(R$6,0))))&gt;=R$5)*(DATE(YEAR(R$6),MONTH(R$6),MIN(DAY($F18),DAY(EOMONTH(R$6,0))))&lt;=R$6)*(MOD((YEAR(R$6)-YEAR($F18))*12+MONTH(R$6)-MONTH($F18),3)=0)),IF($D18="One-off",($F18&gt;=R$5)*($F18&lt;=R$6),0))))))</f>
        <v>0</v>
      </c>
      <c r="S18" s="19">
        <f>IF(OR($E18="",$F18="",$D18=""),0,IF(OR($C18="Loan and finance repayments",$C18="VAT and taxes",$C18="Capital expenditure",$C18="Licences and regulatory fees"),1,1+CostAdj)*$E18*IF($D18="Weekly",(MAX(0,INT((S$6-$F18)/7)+1)-MAX(0,INT((S$5-1-$F18)/7)+1)),IF($D18="Fortnightly",(MAX(0,INT((S$6-$F18)/14)+1)-MAX(0,INT((S$5-1-$F18)/14)+1)),IF($D18="Monthly",((DATE(YEAR(S$5),MONTH(S$5),MIN(DAY($F18),DAY(EOMONTH(S$5,0))))&gt;=MAX(S$5,$F18))*(DATE(YEAR(S$5),MONTH(S$5),MIN(DAY($F18),DAY(EOMONTH(S$5,0))))&lt;=S$6)*(MOD((YEAR(S$5)-YEAR($F18))*12+MONTH(S$5)-MONTH($F18),1)=0)+(MONTH(S$6)&lt;&gt;MONTH(S$5))*(DATE(YEAR(S$6),MONTH(S$6),MIN(DAY($F18),DAY(EOMONTH(S$6,0))))&gt;=$F18)*(DATE(YEAR(S$6),MONTH(S$6),MIN(DAY($F18),DAY(EOMONTH(S$6,0))))&gt;=S$5)*(DATE(YEAR(S$6),MONTH(S$6),MIN(DAY($F18),DAY(EOMONTH(S$6,0))))&lt;=S$6)*(MOD((YEAR(S$6)-YEAR($F18))*12+MONTH(S$6)-MONTH($F18),1)=0)),IF($D18="Quarterly",((DATE(YEAR(S$5),MONTH(S$5),MIN(DAY($F18),DAY(EOMONTH(S$5,0))))&gt;=MAX(S$5,$F18))*(DATE(YEAR(S$5),MONTH(S$5),MIN(DAY($F18),DAY(EOMONTH(S$5,0))))&lt;=S$6)*(MOD((YEAR(S$5)-YEAR($F18))*12+MONTH(S$5)-MONTH($F18),3)=0)+(MONTH(S$6)&lt;&gt;MONTH(S$5))*(DATE(YEAR(S$6),MONTH(S$6),MIN(DAY($F18),DAY(EOMONTH(S$6,0))))&gt;=$F18)*(DATE(YEAR(S$6),MONTH(S$6),MIN(DAY($F18),DAY(EOMONTH(S$6,0))))&gt;=S$5)*(DATE(YEAR(S$6),MONTH(S$6),MIN(DAY($F18),DAY(EOMONTH(S$6,0))))&lt;=S$6)*(MOD((YEAR(S$6)-YEAR($F18))*12+MONTH(S$6)-MONTH($F18),3)=0)),IF($D18="One-off",($F18&gt;=S$5)*($F18&lt;=S$6),0))))))</f>
        <v>0</v>
      </c>
      <c r="T18" s="19">
        <f>IF(OR($E18="",$F18="",$D18=""),0,IF(OR($C18="Loan and finance repayments",$C18="VAT and taxes",$C18="Capital expenditure",$C18="Licences and regulatory fees"),1,1+CostAdj)*$E18*IF($D18="Weekly",(MAX(0,INT((T$6-$F18)/7)+1)-MAX(0,INT((T$5-1-$F18)/7)+1)),IF($D18="Fortnightly",(MAX(0,INT((T$6-$F18)/14)+1)-MAX(0,INT((T$5-1-$F18)/14)+1)),IF($D18="Monthly",((DATE(YEAR(T$5),MONTH(T$5),MIN(DAY($F18),DAY(EOMONTH(T$5,0))))&gt;=MAX(T$5,$F18))*(DATE(YEAR(T$5),MONTH(T$5),MIN(DAY($F18),DAY(EOMONTH(T$5,0))))&lt;=T$6)*(MOD((YEAR(T$5)-YEAR($F18))*12+MONTH(T$5)-MONTH($F18),1)=0)+(MONTH(T$6)&lt;&gt;MONTH(T$5))*(DATE(YEAR(T$6),MONTH(T$6),MIN(DAY($F18),DAY(EOMONTH(T$6,0))))&gt;=$F18)*(DATE(YEAR(T$6),MONTH(T$6),MIN(DAY($F18),DAY(EOMONTH(T$6,0))))&gt;=T$5)*(DATE(YEAR(T$6),MONTH(T$6),MIN(DAY($F18),DAY(EOMONTH(T$6,0))))&lt;=T$6)*(MOD((YEAR(T$6)-YEAR($F18))*12+MONTH(T$6)-MONTH($F18),1)=0)),IF($D18="Quarterly",((DATE(YEAR(T$5),MONTH(T$5),MIN(DAY($F18),DAY(EOMONTH(T$5,0))))&gt;=MAX(T$5,$F18))*(DATE(YEAR(T$5),MONTH(T$5),MIN(DAY($F18),DAY(EOMONTH(T$5,0))))&lt;=T$6)*(MOD((YEAR(T$5)-YEAR($F18))*12+MONTH(T$5)-MONTH($F18),3)=0)+(MONTH(T$6)&lt;&gt;MONTH(T$5))*(DATE(YEAR(T$6),MONTH(T$6),MIN(DAY($F18),DAY(EOMONTH(T$6,0))))&gt;=$F18)*(DATE(YEAR(T$6),MONTH(T$6),MIN(DAY($F18),DAY(EOMONTH(T$6,0))))&gt;=T$5)*(DATE(YEAR(T$6),MONTH(T$6),MIN(DAY($F18),DAY(EOMONTH(T$6,0))))&lt;=T$6)*(MOD((YEAR(T$6)-YEAR($F18))*12+MONTH(T$6)-MONTH($F18),3)=0)),IF($D18="One-off",($F18&gt;=T$5)*($F18&lt;=T$6),0))))))</f>
        <v>9500</v>
      </c>
      <c r="U18" s="36">
        <f>SUM(H18:T18)</f>
        <v>28500</v>
      </c>
    </row>
    <row r="19" spans="1:21">
      <c r="A19" s="42">
        <v>11</v>
      </c>
      <c r="B19" s="7" t="s">
        <v>142</v>
      </c>
      <c r="C19" s="7" t="s">
        <v>7</v>
      </c>
      <c r="D19" s="7" t="s">
        <v>15</v>
      </c>
      <c r="E19" s="18">
        <v>15000</v>
      </c>
      <c r="F19" s="17">
        <v>46304</v>
      </c>
      <c r="G19" s="7"/>
      <c r="H19" s="19">
        <f>IF(OR($E19="",$F19="",$D19=""),0,IF(OR($C19="Loan and finance repayments",$C19="VAT and taxes",$C19="Capital expenditure",$C19="Licences and regulatory fees"),1,1+CostAdj)*$E19*IF($D19="Weekly",(MAX(0,INT((H$6-$F19)/7)+1)-MAX(0,INT((H$5-1-$F19)/7)+1)),IF($D19="Fortnightly",(MAX(0,INT((H$6-$F19)/14)+1)-MAX(0,INT((H$5-1-$F19)/14)+1)),IF($D19="Monthly",((DATE(YEAR(H$5),MONTH(H$5),MIN(DAY($F19),DAY(EOMONTH(H$5,0))))&gt;=MAX(H$5,$F19))*(DATE(YEAR(H$5),MONTH(H$5),MIN(DAY($F19),DAY(EOMONTH(H$5,0))))&lt;=H$6)*(MOD((YEAR(H$5)-YEAR($F19))*12+MONTH(H$5)-MONTH($F19),1)=0)+(MONTH(H$6)&lt;&gt;MONTH(H$5))*(DATE(YEAR(H$6),MONTH(H$6),MIN(DAY($F19),DAY(EOMONTH(H$6,0))))&gt;=$F19)*(DATE(YEAR(H$6),MONTH(H$6),MIN(DAY($F19),DAY(EOMONTH(H$6,0))))&gt;=H$5)*(DATE(YEAR(H$6),MONTH(H$6),MIN(DAY($F19),DAY(EOMONTH(H$6,0))))&lt;=H$6)*(MOD((YEAR(H$6)-YEAR($F19))*12+MONTH(H$6)-MONTH($F19),1)=0)),IF($D19="Quarterly",((DATE(YEAR(H$5),MONTH(H$5),MIN(DAY($F19),DAY(EOMONTH(H$5,0))))&gt;=MAX(H$5,$F19))*(DATE(YEAR(H$5),MONTH(H$5),MIN(DAY($F19),DAY(EOMONTH(H$5,0))))&lt;=H$6)*(MOD((YEAR(H$5)-YEAR($F19))*12+MONTH(H$5)-MONTH($F19),3)=0)+(MONTH(H$6)&lt;&gt;MONTH(H$5))*(DATE(YEAR(H$6),MONTH(H$6),MIN(DAY($F19),DAY(EOMONTH(H$6,0))))&gt;=$F19)*(DATE(YEAR(H$6),MONTH(H$6),MIN(DAY($F19),DAY(EOMONTH(H$6,0))))&gt;=H$5)*(DATE(YEAR(H$6),MONTH(H$6),MIN(DAY($F19),DAY(EOMONTH(H$6,0))))&lt;=H$6)*(MOD((YEAR(H$6)-YEAR($F19))*12+MONTH(H$6)-MONTH($F19),3)=0)),IF($D19="One-off",($F19&gt;=H$5)*($F19&lt;=H$6),0))))))</f>
        <v>15000</v>
      </c>
      <c r="I19" s="19">
        <f>IF(OR($E19="",$F19="",$D19=""),0,IF(OR($C19="Loan and finance repayments",$C19="VAT and taxes",$C19="Capital expenditure",$C19="Licences and regulatory fees"),1,1+CostAdj)*$E19*IF($D19="Weekly",(MAX(0,INT((I$6-$F19)/7)+1)-MAX(0,INT((I$5-1-$F19)/7)+1)),IF($D19="Fortnightly",(MAX(0,INT((I$6-$F19)/14)+1)-MAX(0,INT((I$5-1-$F19)/14)+1)),IF($D19="Monthly",((DATE(YEAR(I$5),MONTH(I$5),MIN(DAY($F19),DAY(EOMONTH(I$5,0))))&gt;=MAX(I$5,$F19))*(DATE(YEAR(I$5),MONTH(I$5),MIN(DAY($F19),DAY(EOMONTH(I$5,0))))&lt;=I$6)*(MOD((YEAR(I$5)-YEAR($F19))*12+MONTH(I$5)-MONTH($F19),1)=0)+(MONTH(I$6)&lt;&gt;MONTH(I$5))*(DATE(YEAR(I$6),MONTH(I$6),MIN(DAY($F19),DAY(EOMONTH(I$6,0))))&gt;=$F19)*(DATE(YEAR(I$6),MONTH(I$6),MIN(DAY($F19),DAY(EOMONTH(I$6,0))))&gt;=I$5)*(DATE(YEAR(I$6),MONTH(I$6),MIN(DAY($F19),DAY(EOMONTH(I$6,0))))&lt;=I$6)*(MOD((YEAR(I$6)-YEAR($F19))*12+MONTH(I$6)-MONTH($F19),1)=0)),IF($D19="Quarterly",((DATE(YEAR(I$5),MONTH(I$5),MIN(DAY($F19),DAY(EOMONTH(I$5,0))))&gt;=MAX(I$5,$F19))*(DATE(YEAR(I$5),MONTH(I$5),MIN(DAY($F19),DAY(EOMONTH(I$5,0))))&lt;=I$6)*(MOD((YEAR(I$5)-YEAR($F19))*12+MONTH(I$5)-MONTH($F19),3)=0)+(MONTH(I$6)&lt;&gt;MONTH(I$5))*(DATE(YEAR(I$6),MONTH(I$6),MIN(DAY($F19),DAY(EOMONTH(I$6,0))))&gt;=$F19)*(DATE(YEAR(I$6),MONTH(I$6),MIN(DAY($F19),DAY(EOMONTH(I$6,0))))&gt;=I$5)*(DATE(YEAR(I$6),MONTH(I$6),MIN(DAY($F19),DAY(EOMONTH(I$6,0))))&lt;=I$6)*(MOD((YEAR(I$6)-YEAR($F19))*12+MONTH(I$6)-MONTH($F19),3)=0)),IF($D19="One-off",($F19&gt;=I$5)*($F19&lt;=I$6),0))))))</f>
        <v>0</v>
      </c>
      <c r="J19" s="19">
        <f>IF(OR($E19="",$F19="",$D19=""),0,IF(OR($C19="Loan and finance repayments",$C19="VAT and taxes",$C19="Capital expenditure",$C19="Licences and regulatory fees"),1,1+CostAdj)*$E19*IF($D19="Weekly",(MAX(0,INT((J$6-$F19)/7)+1)-MAX(0,INT((J$5-1-$F19)/7)+1)),IF($D19="Fortnightly",(MAX(0,INT((J$6-$F19)/14)+1)-MAX(0,INT((J$5-1-$F19)/14)+1)),IF($D19="Monthly",((DATE(YEAR(J$5),MONTH(J$5),MIN(DAY($F19),DAY(EOMONTH(J$5,0))))&gt;=MAX(J$5,$F19))*(DATE(YEAR(J$5),MONTH(J$5),MIN(DAY($F19),DAY(EOMONTH(J$5,0))))&lt;=J$6)*(MOD((YEAR(J$5)-YEAR($F19))*12+MONTH(J$5)-MONTH($F19),1)=0)+(MONTH(J$6)&lt;&gt;MONTH(J$5))*(DATE(YEAR(J$6),MONTH(J$6),MIN(DAY($F19),DAY(EOMONTH(J$6,0))))&gt;=$F19)*(DATE(YEAR(J$6),MONTH(J$6),MIN(DAY($F19),DAY(EOMONTH(J$6,0))))&gt;=J$5)*(DATE(YEAR(J$6),MONTH(J$6),MIN(DAY($F19),DAY(EOMONTH(J$6,0))))&lt;=J$6)*(MOD((YEAR(J$6)-YEAR($F19))*12+MONTH(J$6)-MONTH($F19),1)=0)),IF($D19="Quarterly",((DATE(YEAR(J$5),MONTH(J$5),MIN(DAY($F19),DAY(EOMONTH(J$5,0))))&gt;=MAX(J$5,$F19))*(DATE(YEAR(J$5),MONTH(J$5),MIN(DAY($F19),DAY(EOMONTH(J$5,0))))&lt;=J$6)*(MOD((YEAR(J$5)-YEAR($F19))*12+MONTH(J$5)-MONTH($F19),3)=0)+(MONTH(J$6)&lt;&gt;MONTH(J$5))*(DATE(YEAR(J$6),MONTH(J$6),MIN(DAY($F19),DAY(EOMONTH(J$6,0))))&gt;=$F19)*(DATE(YEAR(J$6),MONTH(J$6),MIN(DAY($F19),DAY(EOMONTH(J$6,0))))&gt;=J$5)*(DATE(YEAR(J$6),MONTH(J$6),MIN(DAY($F19),DAY(EOMONTH(J$6,0))))&lt;=J$6)*(MOD((YEAR(J$6)-YEAR($F19))*12+MONTH(J$6)-MONTH($F19),3)=0)),IF($D19="One-off",($F19&gt;=J$5)*($F19&lt;=J$6),0))))))</f>
        <v>0</v>
      </c>
      <c r="K19" s="19">
        <f>IF(OR($E19="",$F19="",$D19=""),0,IF(OR($C19="Loan and finance repayments",$C19="VAT and taxes",$C19="Capital expenditure",$C19="Licences and regulatory fees"),1,1+CostAdj)*$E19*IF($D19="Weekly",(MAX(0,INT((K$6-$F19)/7)+1)-MAX(0,INT((K$5-1-$F19)/7)+1)),IF($D19="Fortnightly",(MAX(0,INT((K$6-$F19)/14)+1)-MAX(0,INT((K$5-1-$F19)/14)+1)),IF($D19="Monthly",((DATE(YEAR(K$5),MONTH(K$5),MIN(DAY($F19),DAY(EOMONTH(K$5,0))))&gt;=MAX(K$5,$F19))*(DATE(YEAR(K$5),MONTH(K$5),MIN(DAY($F19),DAY(EOMONTH(K$5,0))))&lt;=K$6)*(MOD((YEAR(K$5)-YEAR($F19))*12+MONTH(K$5)-MONTH($F19),1)=0)+(MONTH(K$6)&lt;&gt;MONTH(K$5))*(DATE(YEAR(K$6),MONTH(K$6),MIN(DAY($F19),DAY(EOMONTH(K$6,0))))&gt;=$F19)*(DATE(YEAR(K$6),MONTH(K$6),MIN(DAY($F19),DAY(EOMONTH(K$6,0))))&gt;=K$5)*(DATE(YEAR(K$6),MONTH(K$6),MIN(DAY($F19),DAY(EOMONTH(K$6,0))))&lt;=K$6)*(MOD((YEAR(K$6)-YEAR($F19))*12+MONTH(K$6)-MONTH($F19),1)=0)),IF($D19="Quarterly",((DATE(YEAR(K$5),MONTH(K$5),MIN(DAY($F19),DAY(EOMONTH(K$5,0))))&gt;=MAX(K$5,$F19))*(DATE(YEAR(K$5),MONTH(K$5),MIN(DAY($F19),DAY(EOMONTH(K$5,0))))&lt;=K$6)*(MOD((YEAR(K$5)-YEAR($F19))*12+MONTH(K$5)-MONTH($F19),3)=0)+(MONTH(K$6)&lt;&gt;MONTH(K$5))*(DATE(YEAR(K$6),MONTH(K$6),MIN(DAY($F19),DAY(EOMONTH(K$6,0))))&gt;=$F19)*(DATE(YEAR(K$6),MONTH(K$6),MIN(DAY($F19),DAY(EOMONTH(K$6,0))))&gt;=K$5)*(DATE(YEAR(K$6),MONTH(K$6),MIN(DAY($F19),DAY(EOMONTH(K$6,0))))&lt;=K$6)*(MOD((YEAR(K$6)-YEAR($F19))*12+MONTH(K$6)-MONTH($F19),3)=0)),IF($D19="One-off",($F19&gt;=K$5)*($F19&lt;=K$6),0))))))</f>
        <v>0</v>
      </c>
      <c r="L19" s="19">
        <f>IF(OR($E19="",$F19="",$D19=""),0,IF(OR($C19="Loan and finance repayments",$C19="VAT and taxes",$C19="Capital expenditure",$C19="Licences and regulatory fees"),1,1+CostAdj)*$E19*IF($D19="Weekly",(MAX(0,INT((L$6-$F19)/7)+1)-MAX(0,INT((L$5-1-$F19)/7)+1)),IF($D19="Fortnightly",(MAX(0,INT((L$6-$F19)/14)+1)-MAX(0,INT((L$5-1-$F19)/14)+1)),IF($D19="Monthly",((DATE(YEAR(L$5),MONTH(L$5),MIN(DAY($F19),DAY(EOMONTH(L$5,0))))&gt;=MAX(L$5,$F19))*(DATE(YEAR(L$5),MONTH(L$5),MIN(DAY($F19),DAY(EOMONTH(L$5,0))))&lt;=L$6)*(MOD((YEAR(L$5)-YEAR($F19))*12+MONTH(L$5)-MONTH($F19),1)=0)+(MONTH(L$6)&lt;&gt;MONTH(L$5))*(DATE(YEAR(L$6),MONTH(L$6),MIN(DAY($F19),DAY(EOMONTH(L$6,0))))&gt;=$F19)*(DATE(YEAR(L$6),MONTH(L$6),MIN(DAY($F19),DAY(EOMONTH(L$6,0))))&gt;=L$5)*(DATE(YEAR(L$6),MONTH(L$6),MIN(DAY($F19),DAY(EOMONTH(L$6,0))))&lt;=L$6)*(MOD((YEAR(L$6)-YEAR($F19))*12+MONTH(L$6)-MONTH($F19),1)=0)),IF($D19="Quarterly",((DATE(YEAR(L$5),MONTH(L$5),MIN(DAY($F19),DAY(EOMONTH(L$5,0))))&gt;=MAX(L$5,$F19))*(DATE(YEAR(L$5),MONTH(L$5),MIN(DAY($F19),DAY(EOMONTH(L$5,0))))&lt;=L$6)*(MOD((YEAR(L$5)-YEAR($F19))*12+MONTH(L$5)-MONTH($F19),3)=0)+(MONTH(L$6)&lt;&gt;MONTH(L$5))*(DATE(YEAR(L$6),MONTH(L$6),MIN(DAY($F19),DAY(EOMONTH(L$6,0))))&gt;=$F19)*(DATE(YEAR(L$6),MONTH(L$6),MIN(DAY($F19),DAY(EOMONTH(L$6,0))))&gt;=L$5)*(DATE(YEAR(L$6),MONTH(L$6),MIN(DAY($F19),DAY(EOMONTH(L$6,0))))&lt;=L$6)*(MOD((YEAR(L$6)-YEAR($F19))*12+MONTH(L$6)-MONTH($F19),3)=0)),IF($D19="One-off",($F19&gt;=L$5)*($F19&lt;=L$6),0))))))</f>
        <v>0</v>
      </c>
      <c r="M19" s="19">
        <f>IF(OR($E19="",$F19="",$D19=""),0,IF(OR($C19="Loan and finance repayments",$C19="VAT and taxes",$C19="Capital expenditure",$C19="Licences and regulatory fees"),1,1+CostAdj)*$E19*IF($D19="Weekly",(MAX(0,INT((M$6-$F19)/7)+1)-MAX(0,INT((M$5-1-$F19)/7)+1)),IF($D19="Fortnightly",(MAX(0,INT((M$6-$F19)/14)+1)-MAX(0,INT((M$5-1-$F19)/14)+1)),IF($D19="Monthly",((DATE(YEAR(M$5),MONTH(M$5),MIN(DAY($F19),DAY(EOMONTH(M$5,0))))&gt;=MAX(M$5,$F19))*(DATE(YEAR(M$5),MONTH(M$5),MIN(DAY($F19),DAY(EOMONTH(M$5,0))))&lt;=M$6)*(MOD((YEAR(M$5)-YEAR($F19))*12+MONTH(M$5)-MONTH($F19),1)=0)+(MONTH(M$6)&lt;&gt;MONTH(M$5))*(DATE(YEAR(M$6),MONTH(M$6),MIN(DAY($F19),DAY(EOMONTH(M$6,0))))&gt;=$F19)*(DATE(YEAR(M$6),MONTH(M$6),MIN(DAY($F19),DAY(EOMONTH(M$6,0))))&gt;=M$5)*(DATE(YEAR(M$6),MONTH(M$6),MIN(DAY($F19),DAY(EOMONTH(M$6,0))))&lt;=M$6)*(MOD((YEAR(M$6)-YEAR($F19))*12+MONTH(M$6)-MONTH($F19),1)=0)),IF($D19="Quarterly",((DATE(YEAR(M$5),MONTH(M$5),MIN(DAY($F19),DAY(EOMONTH(M$5,0))))&gt;=MAX(M$5,$F19))*(DATE(YEAR(M$5),MONTH(M$5),MIN(DAY($F19),DAY(EOMONTH(M$5,0))))&lt;=M$6)*(MOD((YEAR(M$5)-YEAR($F19))*12+MONTH(M$5)-MONTH($F19),3)=0)+(MONTH(M$6)&lt;&gt;MONTH(M$5))*(DATE(YEAR(M$6),MONTH(M$6),MIN(DAY($F19),DAY(EOMONTH(M$6,0))))&gt;=$F19)*(DATE(YEAR(M$6),MONTH(M$6),MIN(DAY($F19),DAY(EOMONTH(M$6,0))))&gt;=M$5)*(DATE(YEAR(M$6),MONTH(M$6),MIN(DAY($F19),DAY(EOMONTH(M$6,0))))&lt;=M$6)*(MOD((YEAR(M$6)-YEAR($F19))*12+MONTH(M$6)-MONTH($F19),3)=0)),IF($D19="One-off",($F19&gt;=M$5)*($F19&lt;=M$6),0))))))</f>
        <v>15000</v>
      </c>
      <c r="N19" s="19">
        <f>IF(OR($E19="",$F19="",$D19=""),0,IF(OR($C19="Loan and finance repayments",$C19="VAT and taxes",$C19="Capital expenditure",$C19="Licences and regulatory fees"),1,1+CostAdj)*$E19*IF($D19="Weekly",(MAX(0,INT((N$6-$F19)/7)+1)-MAX(0,INT((N$5-1-$F19)/7)+1)),IF($D19="Fortnightly",(MAX(0,INT((N$6-$F19)/14)+1)-MAX(0,INT((N$5-1-$F19)/14)+1)),IF($D19="Monthly",((DATE(YEAR(N$5),MONTH(N$5),MIN(DAY($F19),DAY(EOMONTH(N$5,0))))&gt;=MAX(N$5,$F19))*(DATE(YEAR(N$5),MONTH(N$5),MIN(DAY($F19),DAY(EOMONTH(N$5,0))))&lt;=N$6)*(MOD((YEAR(N$5)-YEAR($F19))*12+MONTH(N$5)-MONTH($F19),1)=0)+(MONTH(N$6)&lt;&gt;MONTH(N$5))*(DATE(YEAR(N$6),MONTH(N$6),MIN(DAY($F19),DAY(EOMONTH(N$6,0))))&gt;=$F19)*(DATE(YEAR(N$6),MONTH(N$6),MIN(DAY($F19),DAY(EOMONTH(N$6,0))))&gt;=N$5)*(DATE(YEAR(N$6),MONTH(N$6),MIN(DAY($F19),DAY(EOMONTH(N$6,0))))&lt;=N$6)*(MOD((YEAR(N$6)-YEAR($F19))*12+MONTH(N$6)-MONTH($F19),1)=0)),IF($D19="Quarterly",((DATE(YEAR(N$5),MONTH(N$5),MIN(DAY($F19),DAY(EOMONTH(N$5,0))))&gt;=MAX(N$5,$F19))*(DATE(YEAR(N$5),MONTH(N$5),MIN(DAY($F19),DAY(EOMONTH(N$5,0))))&lt;=N$6)*(MOD((YEAR(N$5)-YEAR($F19))*12+MONTH(N$5)-MONTH($F19),3)=0)+(MONTH(N$6)&lt;&gt;MONTH(N$5))*(DATE(YEAR(N$6),MONTH(N$6),MIN(DAY($F19),DAY(EOMONTH(N$6,0))))&gt;=$F19)*(DATE(YEAR(N$6),MONTH(N$6),MIN(DAY($F19),DAY(EOMONTH(N$6,0))))&gt;=N$5)*(DATE(YEAR(N$6),MONTH(N$6),MIN(DAY($F19),DAY(EOMONTH(N$6,0))))&lt;=N$6)*(MOD((YEAR(N$6)-YEAR($F19))*12+MONTH(N$6)-MONTH($F19),3)=0)),IF($D19="One-off",($F19&gt;=N$5)*($F19&lt;=N$6),0))))))</f>
        <v>0</v>
      </c>
      <c r="O19" s="19">
        <f>IF(OR($E19="",$F19="",$D19=""),0,IF(OR($C19="Loan and finance repayments",$C19="VAT and taxes",$C19="Capital expenditure",$C19="Licences and regulatory fees"),1,1+CostAdj)*$E19*IF($D19="Weekly",(MAX(0,INT((O$6-$F19)/7)+1)-MAX(0,INT((O$5-1-$F19)/7)+1)),IF($D19="Fortnightly",(MAX(0,INT((O$6-$F19)/14)+1)-MAX(0,INT((O$5-1-$F19)/14)+1)),IF($D19="Monthly",((DATE(YEAR(O$5),MONTH(O$5),MIN(DAY($F19),DAY(EOMONTH(O$5,0))))&gt;=MAX(O$5,$F19))*(DATE(YEAR(O$5),MONTH(O$5),MIN(DAY($F19),DAY(EOMONTH(O$5,0))))&lt;=O$6)*(MOD((YEAR(O$5)-YEAR($F19))*12+MONTH(O$5)-MONTH($F19),1)=0)+(MONTH(O$6)&lt;&gt;MONTH(O$5))*(DATE(YEAR(O$6),MONTH(O$6),MIN(DAY($F19),DAY(EOMONTH(O$6,0))))&gt;=$F19)*(DATE(YEAR(O$6),MONTH(O$6),MIN(DAY($F19),DAY(EOMONTH(O$6,0))))&gt;=O$5)*(DATE(YEAR(O$6),MONTH(O$6),MIN(DAY($F19),DAY(EOMONTH(O$6,0))))&lt;=O$6)*(MOD((YEAR(O$6)-YEAR($F19))*12+MONTH(O$6)-MONTH($F19),1)=0)),IF($D19="Quarterly",((DATE(YEAR(O$5),MONTH(O$5),MIN(DAY($F19),DAY(EOMONTH(O$5,0))))&gt;=MAX(O$5,$F19))*(DATE(YEAR(O$5),MONTH(O$5),MIN(DAY($F19),DAY(EOMONTH(O$5,0))))&lt;=O$6)*(MOD((YEAR(O$5)-YEAR($F19))*12+MONTH(O$5)-MONTH($F19),3)=0)+(MONTH(O$6)&lt;&gt;MONTH(O$5))*(DATE(YEAR(O$6),MONTH(O$6),MIN(DAY($F19),DAY(EOMONTH(O$6,0))))&gt;=$F19)*(DATE(YEAR(O$6),MONTH(O$6),MIN(DAY($F19),DAY(EOMONTH(O$6,0))))&gt;=O$5)*(DATE(YEAR(O$6),MONTH(O$6),MIN(DAY($F19),DAY(EOMONTH(O$6,0))))&lt;=O$6)*(MOD((YEAR(O$6)-YEAR($F19))*12+MONTH(O$6)-MONTH($F19),3)=0)),IF($D19="One-off",($F19&gt;=O$5)*($F19&lt;=O$6),0))))))</f>
        <v>0</v>
      </c>
      <c r="P19" s="19">
        <f>IF(OR($E19="",$F19="",$D19=""),0,IF(OR($C19="Loan and finance repayments",$C19="VAT and taxes",$C19="Capital expenditure",$C19="Licences and regulatory fees"),1,1+CostAdj)*$E19*IF($D19="Weekly",(MAX(0,INT((P$6-$F19)/7)+1)-MAX(0,INT((P$5-1-$F19)/7)+1)),IF($D19="Fortnightly",(MAX(0,INT((P$6-$F19)/14)+1)-MAX(0,INT((P$5-1-$F19)/14)+1)),IF($D19="Monthly",((DATE(YEAR(P$5),MONTH(P$5),MIN(DAY($F19),DAY(EOMONTH(P$5,0))))&gt;=MAX(P$5,$F19))*(DATE(YEAR(P$5),MONTH(P$5),MIN(DAY($F19),DAY(EOMONTH(P$5,0))))&lt;=P$6)*(MOD((YEAR(P$5)-YEAR($F19))*12+MONTH(P$5)-MONTH($F19),1)=0)+(MONTH(P$6)&lt;&gt;MONTH(P$5))*(DATE(YEAR(P$6),MONTH(P$6),MIN(DAY($F19),DAY(EOMONTH(P$6,0))))&gt;=$F19)*(DATE(YEAR(P$6),MONTH(P$6),MIN(DAY($F19),DAY(EOMONTH(P$6,0))))&gt;=P$5)*(DATE(YEAR(P$6),MONTH(P$6),MIN(DAY($F19),DAY(EOMONTH(P$6,0))))&lt;=P$6)*(MOD((YEAR(P$6)-YEAR($F19))*12+MONTH(P$6)-MONTH($F19),1)=0)),IF($D19="Quarterly",((DATE(YEAR(P$5),MONTH(P$5),MIN(DAY($F19),DAY(EOMONTH(P$5,0))))&gt;=MAX(P$5,$F19))*(DATE(YEAR(P$5),MONTH(P$5),MIN(DAY($F19),DAY(EOMONTH(P$5,0))))&lt;=P$6)*(MOD((YEAR(P$5)-YEAR($F19))*12+MONTH(P$5)-MONTH($F19),3)=0)+(MONTH(P$6)&lt;&gt;MONTH(P$5))*(DATE(YEAR(P$6),MONTH(P$6),MIN(DAY($F19),DAY(EOMONTH(P$6,0))))&gt;=$F19)*(DATE(YEAR(P$6),MONTH(P$6),MIN(DAY($F19),DAY(EOMONTH(P$6,0))))&gt;=P$5)*(DATE(YEAR(P$6),MONTH(P$6),MIN(DAY($F19),DAY(EOMONTH(P$6,0))))&lt;=P$6)*(MOD((YEAR(P$6)-YEAR($F19))*12+MONTH(P$6)-MONTH($F19),3)=0)),IF($D19="One-off",($F19&gt;=P$5)*($F19&lt;=P$6),0))))))</f>
        <v>0</v>
      </c>
      <c r="Q19" s="19">
        <f>IF(OR($E19="",$F19="",$D19=""),0,IF(OR($C19="Loan and finance repayments",$C19="VAT and taxes",$C19="Capital expenditure",$C19="Licences and regulatory fees"),1,1+CostAdj)*$E19*IF($D19="Weekly",(MAX(0,INT((Q$6-$F19)/7)+1)-MAX(0,INT((Q$5-1-$F19)/7)+1)),IF($D19="Fortnightly",(MAX(0,INT((Q$6-$F19)/14)+1)-MAX(0,INT((Q$5-1-$F19)/14)+1)),IF($D19="Monthly",((DATE(YEAR(Q$5),MONTH(Q$5),MIN(DAY($F19),DAY(EOMONTH(Q$5,0))))&gt;=MAX(Q$5,$F19))*(DATE(YEAR(Q$5),MONTH(Q$5),MIN(DAY($F19),DAY(EOMONTH(Q$5,0))))&lt;=Q$6)*(MOD((YEAR(Q$5)-YEAR($F19))*12+MONTH(Q$5)-MONTH($F19),1)=0)+(MONTH(Q$6)&lt;&gt;MONTH(Q$5))*(DATE(YEAR(Q$6),MONTH(Q$6),MIN(DAY($F19),DAY(EOMONTH(Q$6,0))))&gt;=$F19)*(DATE(YEAR(Q$6),MONTH(Q$6),MIN(DAY($F19),DAY(EOMONTH(Q$6,0))))&gt;=Q$5)*(DATE(YEAR(Q$6),MONTH(Q$6),MIN(DAY($F19),DAY(EOMONTH(Q$6,0))))&lt;=Q$6)*(MOD((YEAR(Q$6)-YEAR($F19))*12+MONTH(Q$6)-MONTH($F19),1)=0)),IF($D19="Quarterly",((DATE(YEAR(Q$5),MONTH(Q$5),MIN(DAY($F19),DAY(EOMONTH(Q$5,0))))&gt;=MAX(Q$5,$F19))*(DATE(YEAR(Q$5),MONTH(Q$5),MIN(DAY($F19),DAY(EOMONTH(Q$5,0))))&lt;=Q$6)*(MOD((YEAR(Q$5)-YEAR($F19))*12+MONTH(Q$5)-MONTH($F19),3)=0)+(MONTH(Q$6)&lt;&gt;MONTH(Q$5))*(DATE(YEAR(Q$6),MONTH(Q$6),MIN(DAY($F19),DAY(EOMONTH(Q$6,0))))&gt;=$F19)*(DATE(YEAR(Q$6),MONTH(Q$6),MIN(DAY($F19),DAY(EOMONTH(Q$6,0))))&gt;=Q$5)*(DATE(YEAR(Q$6),MONTH(Q$6),MIN(DAY($F19),DAY(EOMONTH(Q$6,0))))&lt;=Q$6)*(MOD((YEAR(Q$6)-YEAR($F19))*12+MONTH(Q$6)-MONTH($F19),3)=0)),IF($D19="One-off",($F19&gt;=Q$5)*($F19&lt;=Q$6),0))))))</f>
        <v>15000</v>
      </c>
      <c r="R19" s="19">
        <f>IF(OR($E19="",$F19="",$D19=""),0,IF(OR($C19="Loan and finance repayments",$C19="VAT and taxes",$C19="Capital expenditure",$C19="Licences and regulatory fees"),1,1+CostAdj)*$E19*IF($D19="Weekly",(MAX(0,INT((R$6-$F19)/7)+1)-MAX(0,INT((R$5-1-$F19)/7)+1)),IF($D19="Fortnightly",(MAX(0,INT((R$6-$F19)/14)+1)-MAX(0,INT((R$5-1-$F19)/14)+1)),IF($D19="Monthly",((DATE(YEAR(R$5),MONTH(R$5),MIN(DAY($F19),DAY(EOMONTH(R$5,0))))&gt;=MAX(R$5,$F19))*(DATE(YEAR(R$5),MONTH(R$5),MIN(DAY($F19),DAY(EOMONTH(R$5,0))))&lt;=R$6)*(MOD((YEAR(R$5)-YEAR($F19))*12+MONTH(R$5)-MONTH($F19),1)=0)+(MONTH(R$6)&lt;&gt;MONTH(R$5))*(DATE(YEAR(R$6),MONTH(R$6),MIN(DAY($F19),DAY(EOMONTH(R$6,0))))&gt;=$F19)*(DATE(YEAR(R$6),MONTH(R$6),MIN(DAY($F19),DAY(EOMONTH(R$6,0))))&gt;=R$5)*(DATE(YEAR(R$6),MONTH(R$6),MIN(DAY($F19),DAY(EOMONTH(R$6,0))))&lt;=R$6)*(MOD((YEAR(R$6)-YEAR($F19))*12+MONTH(R$6)-MONTH($F19),1)=0)),IF($D19="Quarterly",((DATE(YEAR(R$5),MONTH(R$5),MIN(DAY($F19),DAY(EOMONTH(R$5,0))))&gt;=MAX(R$5,$F19))*(DATE(YEAR(R$5),MONTH(R$5),MIN(DAY($F19),DAY(EOMONTH(R$5,0))))&lt;=R$6)*(MOD((YEAR(R$5)-YEAR($F19))*12+MONTH(R$5)-MONTH($F19),3)=0)+(MONTH(R$6)&lt;&gt;MONTH(R$5))*(DATE(YEAR(R$6),MONTH(R$6),MIN(DAY($F19),DAY(EOMONTH(R$6,0))))&gt;=$F19)*(DATE(YEAR(R$6),MONTH(R$6),MIN(DAY($F19),DAY(EOMONTH(R$6,0))))&gt;=R$5)*(DATE(YEAR(R$6),MONTH(R$6),MIN(DAY($F19),DAY(EOMONTH(R$6,0))))&lt;=R$6)*(MOD((YEAR(R$6)-YEAR($F19))*12+MONTH(R$6)-MONTH($F19),3)=0)),IF($D19="One-off",($F19&gt;=R$5)*($F19&lt;=R$6),0))))))</f>
        <v>0</v>
      </c>
      <c r="S19" s="19">
        <f>IF(OR($E19="",$F19="",$D19=""),0,IF(OR($C19="Loan and finance repayments",$C19="VAT and taxes",$C19="Capital expenditure",$C19="Licences and regulatory fees"),1,1+CostAdj)*$E19*IF($D19="Weekly",(MAX(0,INT((S$6-$F19)/7)+1)-MAX(0,INT((S$5-1-$F19)/7)+1)),IF($D19="Fortnightly",(MAX(0,INT((S$6-$F19)/14)+1)-MAX(0,INT((S$5-1-$F19)/14)+1)),IF($D19="Monthly",((DATE(YEAR(S$5),MONTH(S$5),MIN(DAY($F19),DAY(EOMONTH(S$5,0))))&gt;=MAX(S$5,$F19))*(DATE(YEAR(S$5),MONTH(S$5),MIN(DAY($F19),DAY(EOMONTH(S$5,0))))&lt;=S$6)*(MOD((YEAR(S$5)-YEAR($F19))*12+MONTH(S$5)-MONTH($F19),1)=0)+(MONTH(S$6)&lt;&gt;MONTH(S$5))*(DATE(YEAR(S$6),MONTH(S$6),MIN(DAY($F19),DAY(EOMONTH(S$6,0))))&gt;=$F19)*(DATE(YEAR(S$6),MONTH(S$6),MIN(DAY($F19),DAY(EOMONTH(S$6,0))))&gt;=S$5)*(DATE(YEAR(S$6),MONTH(S$6),MIN(DAY($F19),DAY(EOMONTH(S$6,0))))&lt;=S$6)*(MOD((YEAR(S$6)-YEAR($F19))*12+MONTH(S$6)-MONTH($F19),1)=0)),IF($D19="Quarterly",((DATE(YEAR(S$5),MONTH(S$5),MIN(DAY($F19),DAY(EOMONTH(S$5,0))))&gt;=MAX(S$5,$F19))*(DATE(YEAR(S$5),MONTH(S$5),MIN(DAY($F19),DAY(EOMONTH(S$5,0))))&lt;=S$6)*(MOD((YEAR(S$5)-YEAR($F19))*12+MONTH(S$5)-MONTH($F19),3)=0)+(MONTH(S$6)&lt;&gt;MONTH(S$5))*(DATE(YEAR(S$6),MONTH(S$6),MIN(DAY($F19),DAY(EOMONTH(S$6,0))))&gt;=$F19)*(DATE(YEAR(S$6),MONTH(S$6),MIN(DAY($F19),DAY(EOMONTH(S$6,0))))&gt;=S$5)*(DATE(YEAR(S$6),MONTH(S$6),MIN(DAY($F19),DAY(EOMONTH(S$6,0))))&lt;=S$6)*(MOD((YEAR(S$6)-YEAR($F19))*12+MONTH(S$6)-MONTH($F19),3)=0)),IF($D19="One-off",($F19&gt;=S$5)*($F19&lt;=S$6),0))))))</f>
        <v>0</v>
      </c>
      <c r="T19" s="19">
        <f>IF(OR($E19="",$F19="",$D19=""),0,IF(OR($C19="Loan and finance repayments",$C19="VAT and taxes",$C19="Capital expenditure",$C19="Licences and regulatory fees"),1,1+CostAdj)*$E19*IF($D19="Weekly",(MAX(0,INT((T$6-$F19)/7)+1)-MAX(0,INT((T$5-1-$F19)/7)+1)),IF($D19="Fortnightly",(MAX(0,INT((T$6-$F19)/14)+1)-MAX(0,INT((T$5-1-$F19)/14)+1)),IF($D19="Monthly",((DATE(YEAR(T$5),MONTH(T$5),MIN(DAY($F19),DAY(EOMONTH(T$5,0))))&gt;=MAX(T$5,$F19))*(DATE(YEAR(T$5),MONTH(T$5),MIN(DAY($F19),DAY(EOMONTH(T$5,0))))&lt;=T$6)*(MOD((YEAR(T$5)-YEAR($F19))*12+MONTH(T$5)-MONTH($F19),1)=0)+(MONTH(T$6)&lt;&gt;MONTH(T$5))*(DATE(YEAR(T$6),MONTH(T$6),MIN(DAY($F19),DAY(EOMONTH(T$6,0))))&gt;=$F19)*(DATE(YEAR(T$6),MONTH(T$6),MIN(DAY($F19),DAY(EOMONTH(T$6,0))))&gt;=T$5)*(DATE(YEAR(T$6),MONTH(T$6),MIN(DAY($F19),DAY(EOMONTH(T$6,0))))&lt;=T$6)*(MOD((YEAR(T$6)-YEAR($F19))*12+MONTH(T$6)-MONTH($F19),1)=0)),IF($D19="Quarterly",((DATE(YEAR(T$5),MONTH(T$5),MIN(DAY($F19),DAY(EOMONTH(T$5,0))))&gt;=MAX(T$5,$F19))*(DATE(YEAR(T$5),MONTH(T$5),MIN(DAY($F19),DAY(EOMONTH(T$5,0))))&lt;=T$6)*(MOD((YEAR(T$5)-YEAR($F19))*12+MONTH(T$5)-MONTH($F19),3)=0)+(MONTH(T$6)&lt;&gt;MONTH(T$5))*(DATE(YEAR(T$6),MONTH(T$6),MIN(DAY($F19),DAY(EOMONTH(T$6,0))))&gt;=$F19)*(DATE(YEAR(T$6),MONTH(T$6),MIN(DAY($F19),DAY(EOMONTH(T$6,0))))&gt;=T$5)*(DATE(YEAR(T$6),MONTH(T$6),MIN(DAY($F19),DAY(EOMONTH(T$6,0))))&lt;=T$6)*(MOD((YEAR(T$6)-YEAR($F19))*12+MONTH(T$6)-MONTH($F19),3)=0)),IF($D19="One-off",($F19&gt;=T$5)*($F19&lt;=T$6),0))))))</f>
        <v>0</v>
      </c>
      <c r="U19" s="36">
        <f>SUM(H19:T19)</f>
        <v>45000</v>
      </c>
    </row>
    <row r="20" spans="1:21">
      <c r="A20" s="42">
        <v>12</v>
      </c>
      <c r="B20" s="7" t="s">
        <v>143</v>
      </c>
      <c r="C20" s="7" t="s">
        <v>8</v>
      </c>
      <c r="D20" s="7" t="s">
        <v>16</v>
      </c>
      <c r="E20" s="18">
        <v>12000</v>
      </c>
      <c r="F20" s="17">
        <v>46320</v>
      </c>
      <c r="G20" s="7"/>
      <c r="H20" s="19">
        <f>IF(OR($E20="",$F20="",$D20=""),0,IF(OR($C20="Loan and finance repayments",$C20="VAT and taxes",$C20="Capital expenditure",$C20="Licences and regulatory fees"),1,1+CostAdj)*$E20*IF($D20="Weekly",(MAX(0,INT((H$6-$F20)/7)+1)-MAX(0,INT((H$5-1-$F20)/7)+1)),IF($D20="Fortnightly",(MAX(0,INT((H$6-$F20)/14)+1)-MAX(0,INT((H$5-1-$F20)/14)+1)),IF($D20="Monthly",((DATE(YEAR(H$5),MONTH(H$5),MIN(DAY($F20),DAY(EOMONTH(H$5,0))))&gt;=MAX(H$5,$F20))*(DATE(YEAR(H$5),MONTH(H$5),MIN(DAY($F20),DAY(EOMONTH(H$5,0))))&lt;=H$6)*(MOD((YEAR(H$5)-YEAR($F20))*12+MONTH(H$5)-MONTH($F20),1)=0)+(MONTH(H$6)&lt;&gt;MONTH(H$5))*(DATE(YEAR(H$6),MONTH(H$6),MIN(DAY($F20),DAY(EOMONTH(H$6,0))))&gt;=$F20)*(DATE(YEAR(H$6),MONTH(H$6),MIN(DAY($F20),DAY(EOMONTH(H$6,0))))&gt;=H$5)*(DATE(YEAR(H$6),MONTH(H$6),MIN(DAY($F20),DAY(EOMONTH(H$6,0))))&lt;=H$6)*(MOD((YEAR(H$6)-YEAR($F20))*12+MONTH(H$6)-MONTH($F20),1)=0)),IF($D20="Quarterly",((DATE(YEAR(H$5),MONTH(H$5),MIN(DAY($F20),DAY(EOMONTH(H$5,0))))&gt;=MAX(H$5,$F20))*(DATE(YEAR(H$5),MONTH(H$5),MIN(DAY($F20),DAY(EOMONTH(H$5,0))))&lt;=H$6)*(MOD((YEAR(H$5)-YEAR($F20))*12+MONTH(H$5)-MONTH($F20),3)=0)+(MONTH(H$6)&lt;&gt;MONTH(H$5))*(DATE(YEAR(H$6),MONTH(H$6),MIN(DAY($F20),DAY(EOMONTH(H$6,0))))&gt;=$F20)*(DATE(YEAR(H$6),MONTH(H$6),MIN(DAY($F20),DAY(EOMONTH(H$6,0))))&gt;=H$5)*(DATE(YEAR(H$6),MONTH(H$6),MIN(DAY($F20),DAY(EOMONTH(H$6,0))))&lt;=H$6)*(MOD((YEAR(H$6)-YEAR($F20))*12+MONTH(H$6)-MONTH($F20),3)=0)),IF($D20="One-off",($F20&gt;=H$5)*($F20&lt;=H$6),0))))))</f>
        <v>0</v>
      </c>
      <c r="I20" s="19">
        <f>IF(OR($E20="",$F20="",$D20=""),0,IF(OR($C20="Loan and finance repayments",$C20="VAT and taxes",$C20="Capital expenditure",$C20="Licences and regulatory fees"),1,1+CostAdj)*$E20*IF($D20="Weekly",(MAX(0,INT((I$6-$F20)/7)+1)-MAX(0,INT((I$5-1-$F20)/7)+1)),IF($D20="Fortnightly",(MAX(0,INT((I$6-$F20)/14)+1)-MAX(0,INT((I$5-1-$F20)/14)+1)),IF($D20="Monthly",((DATE(YEAR(I$5),MONTH(I$5),MIN(DAY($F20),DAY(EOMONTH(I$5,0))))&gt;=MAX(I$5,$F20))*(DATE(YEAR(I$5),MONTH(I$5),MIN(DAY($F20),DAY(EOMONTH(I$5,0))))&lt;=I$6)*(MOD((YEAR(I$5)-YEAR($F20))*12+MONTH(I$5)-MONTH($F20),1)=0)+(MONTH(I$6)&lt;&gt;MONTH(I$5))*(DATE(YEAR(I$6),MONTH(I$6),MIN(DAY($F20),DAY(EOMONTH(I$6,0))))&gt;=$F20)*(DATE(YEAR(I$6),MONTH(I$6),MIN(DAY($F20),DAY(EOMONTH(I$6,0))))&gt;=I$5)*(DATE(YEAR(I$6),MONTH(I$6),MIN(DAY($F20),DAY(EOMONTH(I$6,0))))&lt;=I$6)*(MOD((YEAR(I$6)-YEAR($F20))*12+MONTH(I$6)-MONTH($F20),1)=0)),IF($D20="Quarterly",((DATE(YEAR(I$5),MONTH(I$5),MIN(DAY($F20),DAY(EOMONTH(I$5,0))))&gt;=MAX(I$5,$F20))*(DATE(YEAR(I$5),MONTH(I$5),MIN(DAY($F20),DAY(EOMONTH(I$5,0))))&lt;=I$6)*(MOD((YEAR(I$5)-YEAR($F20))*12+MONTH(I$5)-MONTH($F20),3)=0)+(MONTH(I$6)&lt;&gt;MONTH(I$5))*(DATE(YEAR(I$6),MONTH(I$6),MIN(DAY($F20),DAY(EOMONTH(I$6,0))))&gt;=$F20)*(DATE(YEAR(I$6),MONTH(I$6),MIN(DAY($F20),DAY(EOMONTH(I$6,0))))&gt;=I$5)*(DATE(YEAR(I$6),MONTH(I$6),MIN(DAY($F20),DAY(EOMONTH(I$6,0))))&lt;=I$6)*(MOD((YEAR(I$6)-YEAR($F20))*12+MONTH(I$6)-MONTH($F20),3)=0)),IF($D20="One-off",($F20&gt;=I$5)*($F20&lt;=I$6),0))))))</f>
        <v>0</v>
      </c>
      <c r="J20" s="19">
        <f>IF(OR($E20="",$F20="",$D20=""),0,IF(OR($C20="Loan and finance repayments",$C20="VAT and taxes",$C20="Capital expenditure",$C20="Licences and regulatory fees"),1,1+CostAdj)*$E20*IF($D20="Weekly",(MAX(0,INT((J$6-$F20)/7)+1)-MAX(0,INT((J$5-1-$F20)/7)+1)),IF($D20="Fortnightly",(MAX(0,INT((J$6-$F20)/14)+1)-MAX(0,INT((J$5-1-$F20)/14)+1)),IF($D20="Monthly",((DATE(YEAR(J$5),MONTH(J$5),MIN(DAY($F20),DAY(EOMONTH(J$5,0))))&gt;=MAX(J$5,$F20))*(DATE(YEAR(J$5),MONTH(J$5),MIN(DAY($F20),DAY(EOMONTH(J$5,0))))&lt;=J$6)*(MOD((YEAR(J$5)-YEAR($F20))*12+MONTH(J$5)-MONTH($F20),1)=0)+(MONTH(J$6)&lt;&gt;MONTH(J$5))*(DATE(YEAR(J$6),MONTH(J$6),MIN(DAY($F20),DAY(EOMONTH(J$6,0))))&gt;=$F20)*(DATE(YEAR(J$6),MONTH(J$6),MIN(DAY($F20),DAY(EOMONTH(J$6,0))))&gt;=J$5)*(DATE(YEAR(J$6),MONTH(J$6),MIN(DAY($F20),DAY(EOMONTH(J$6,0))))&lt;=J$6)*(MOD((YEAR(J$6)-YEAR($F20))*12+MONTH(J$6)-MONTH($F20),1)=0)),IF($D20="Quarterly",((DATE(YEAR(J$5),MONTH(J$5),MIN(DAY($F20),DAY(EOMONTH(J$5,0))))&gt;=MAX(J$5,$F20))*(DATE(YEAR(J$5),MONTH(J$5),MIN(DAY($F20),DAY(EOMONTH(J$5,0))))&lt;=J$6)*(MOD((YEAR(J$5)-YEAR($F20))*12+MONTH(J$5)-MONTH($F20),3)=0)+(MONTH(J$6)&lt;&gt;MONTH(J$5))*(DATE(YEAR(J$6),MONTH(J$6),MIN(DAY($F20),DAY(EOMONTH(J$6,0))))&gt;=$F20)*(DATE(YEAR(J$6),MONTH(J$6),MIN(DAY($F20),DAY(EOMONTH(J$6,0))))&gt;=J$5)*(DATE(YEAR(J$6),MONTH(J$6),MIN(DAY($F20),DAY(EOMONTH(J$6,0))))&lt;=J$6)*(MOD((YEAR(J$6)-YEAR($F20))*12+MONTH(J$6)-MONTH($F20),3)=0)),IF($D20="One-off",($F20&gt;=J$5)*($F20&lt;=J$6),0))))))</f>
        <v>12000</v>
      </c>
      <c r="K20" s="19">
        <f>IF(OR($E20="",$F20="",$D20=""),0,IF(OR($C20="Loan and finance repayments",$C20="VAT and taxes",$C20="Capital expenditure",$C20="Licences and regulatory fees"),1,1+CostAdj)*$E20*IF($D20="Weekly",(MAX(0,INT((K$6-$F20)/7)+1)-MAX(0,INT((K$5-1-$F20)/7)+1)),IF($D20="Fortnightly",(MAX(0,INT((K$6-$F20)/14)+1)-MAX(0,INT((K$5-1-$F20)/14)+1)),IF($D20="Monthly",((DATE(YEAR(K$5),MONTH(K$5),MIN(DAY($F20),DAY(EOMONTH(K$5,0))))&gt;=MAX(K$5,$F20))*(DATE(YEAR(K$5),MONTH(K$5),MIN(DAY($F20),DAY(EOMONTH(K$5,0))))&lt;=K$6)*(MOD((YEAR(K$5)-YEAR($F20))*12+MONTH(K$5)-MONTH($F20),1)=0)+(MONTH(K$6)&lt;&gt;MONTH(K$5))*(DATE(YEAR(K$6),MONTH(K$6),MIN(DAY($F20),DAY(EOMONTH(K$6,0))))&gt;=$F20)*(DATE(YEAR(K$6),MONTH(K$6),MIN(DAY($F20),DAY(EOMONTH(K$6,0))))&gt;=K$5)*(DATE(YEAR(K$6),MONTH(K$6),MIN(DAY($F20),DAY(EOMONTH(K$6,0))))&lt;=K$6)*(MOD((YEAR(K$6)-YEAR($F20))*12+MONTH(K$6)-MONTH($F20),1)=0)),IF($D20="Quarterly",((DATE(YEAR(K$5),MONTH(K$5),MIN(DAY($F20),DAY(EOMONTH(K$5,0))))&gt;=MAX(K$5,$F20))*(DATE(YEAR(K$5),MONTH(K$5),MIN(DAY($F20),DAY(EOMONTH(K$5,0))))&lt;=K$6)*(MOD((YEAR(K$5)-YEAR($F20))*12+MONTH(K$5)-MONTH($F20),3)=0)+(MONTH(K$6)&lt;&gt;MONTH(K$5))*(DATE(YEAR(K$6),MONTH(K$6),MIN(DAY($F20),DAY(EOMONTH(K$6,0))))&gt;=$F20)*(DATE(YEAR(K$6),MONTH(K$6),MIN(DAY($F20),DAY(EOMONTH(K$6,0))))&gt;=K$5)*(DATE(YEAR(K$6),MONTH(K$6),MIN(DAY($F20),DAY(EOMONTH(K$6,0))))&lt;=K$6)*(MOD((YEAR(K$6)-YEAR($F20))*12+MONTH(K$6)-MONTH($F20),3)=0)),IF($D20="One-off",($F20&gt;=K$5)*($F20&lt;=K$6),0))))))</f>
        <v>0</v>
      </c>
      <c r="L20" s="19">
        <f>IF(OR($E20="",$F20="",$D20=""),0,IF(OR($C20="Loan and finance repayments",$C20="VAT and taxes",$C20="Capital expenditure",$C20="Licences and regulatory fees"),1,1+CostAdj)*$E20*IF($D20="Weekly",(MAX(0,INT((L$6-$F20)/7)+1)-MAX(0,INT((L$5-1-$F20)/7)+1)),IF($D20="Fortnightly",(MAX(0,INT((L$6-$F20)/14)+1)-MAX(0,INT((L$5-1-$F20)/14)+1)),IF($D20="Monthly",((DATE(YEAR(L$5),MONTH(L$5),MIN(DAY($F20),DAY(EOMONTH(L$5,0))))&gt;=MAX(L$5,$F20))*(DATE(YEAR(L$5),MONTH(L$5),MIN(DAY($F20),DAY(EOMONTH(L$5,0))))&lt;=L$6)*(MOD((YEAR(L$5)-YEAR($F20))*12+MONTH(L$5)-MONTH($F20),1)=0)+(MONTH(L$6)&lt;&gt;MONTH(L$5))*(DATE(YEAR(L$6),MONTH(L$6),MIN(DAY($F20),DAY(EOMONTH(L$6,0))))&gt;=$F20)*(DATE(YEAR(L$6),MONTH(L$6),MIN(DAY($F20),DAY(EOMONTH(L$6,0))))&gt;=L$5)*(DATE(YEAR(L$6),MONTH(L$6),MIN(DAY($F20),DAY(EOMONTH(L$6,0))))&lt;=L$6)*(MOD((YEAR(L$6)-YEAR($F20))*12+MONTH(L$6)-MONTH($F20),1)=0)),IF($D20="Quarterly",((DATE(YEAR(L$5),MONTH(L$5),MIN(DAY($F20),DAY(EOMONTH(L$5,0))))&gt;=MAX(L$5,$F20))*(DATE(YEAR(L$5),MONTH(L$5),MIN(DAY($F20),DAY(EOMONTH(L$5,0))))&lt;=L$6)*(MOD((YEAR(L$5)-YEAR($F20))*12+MONTH(L$5)-MONTH($F20),3)=0)+(MONTH(L$6)&lt;&gt;MONTH(L$5))*(DATE(YEAR(L$6),MONTH(L$6),MIN(DAY($F20),DAY(EOMONTH(L$6,0))))&gt;=$F20)*(DATE(YEAR(L$6),MONTH(L$6),MIN(DAY($F20),DAY(EOMONTH(L$6,0))))&gt;=L$5)*(DATE(YEAR(L$6),MONTH(L$6),MIN(DAY($F20),DAY(EOMONTH(L$6,0))))&lt;=L$6)*(MOD((YEAR(L$6)-YEAR($F20))*12+MONTH(L$6)-MONTH($F20),3)=0)),IF($D20="One-off",($F20&gt;=L$5)*($F20&lt;=L$6),0))))))</f>
        <v>0</v>
      </c>
      <c r="M20" s="19">
        <f>IF(OR($E20="",$F20="",$D20=""),0,IF(OR($C20="Loan and finance repayments",$C20="VAT and taxes",$C20="Capital expenditure",$C20="Licences and regulatory fees"),1,1+CostAdj)*$E20*IF($D20="Weekly",(MAX(0,INT((M$6-$F20)/7)+1)-MAX(0,INT((M$5-1-$F20)/7)+1)),IF($D20="Fortnightly",(MAX(0,INT((M$6-$F20)/14)+1)-MAX(0,INT((M$5-1-$F20)/14)+1)),IF($D20="Monthly",((DATE(YEAR(M$5),MONTH(M$5),MIN(DAY($F20),DAY(EOMONTH(M$5,0))))&gt;=MAX(M$5,$F20))*(DATE(YEAR(M$5),MONTH(M$5),MIN(DAY($F20),DAY(EOMONTH(M$5,0))))&lt;=M$6)*(MOD((YEAR(M$5)-YEAR($F20))*12+MONTH(M$5)-MONTH($F20),1)=0)+(MONTH(M$6)&lt;&gt;MONTH(M$5))*(DATE(YEAR(M$6),MONTH(M$6),MIN(DAY($F20),DAY(EOMONTH(M$6,0))))&gt;=$F20)*(DATE(YEAR(M$6),MONTH(M$6),MIN(DAY($F20),DAY(EOMONTH(M$6,0))))&gt;=M$5)*(DATE(YEAR(M$6),MONTH(M$6),MIN(DAY($F20),DAY(EOMONTH(M$6,0))))&lt;=M$6)*(MOD((YEAR(M$6)-YEAR($F20))*12+MONTH(M$6)-MONTH($F20),1)=0)),IF($D20="Quarterly",((DATE(YEAR(M$5),MONTH(M$5),MIN(DAY($F20),DAY(EOMONTH(M$5,0))))&gt;=MAX(M$5,$F20))*(DATE(YEAR(M$5),MONTH(M$5),MIN(DAY($F20),DAY(EOMONTH(M$5,0))))&lt;=M$6)*(MOD((YEAR(M$5)-YEAR($F20))*12+MONTH(M$5)-MONTH($F20),3)=0)+(MONTH(M$6)&lt;&gt;MONTH(M$5))*(DATE(YEAR(M$6),MONTH(M$6),MIN(DAY($F20),DAY(EOMONTH(M$6,0))))&gt;=$F20)*(DATE(YEAR(M$6),MONTH(M$6),MIN(DAY($F20),DAY(EOMONTH(M$6,0))))&gt;=M$5)*(DATE(YEAR(M$6),MONTH(M$6),MIN(DAY($F20),DAY(EOMONTH(M$6,0))))&lt;=M$6)*(MOD((YEAR(M$6)-YEAR($F20))*12+MONTH(M$6)-MONTH($F20),3)=0)),IF($D20="One-off",($F20&gt;=M$5)*($F20&lt;=M$6),0))))))</f>
        <v>0</v>
      </c>
      <c r="N20" s="19">
        <f>IF(OR($E20="",$F20="",$D20=""),0,IF(OR($C20="Loan and finance repayments",$C20="VAT and taxes",$C20="Capital expenditure",$C20="Licences and regulatory fees"),1,1+CostAdj)*$E20*IF($D20="Weekly",(MAX(0,INT((N$6-$F20)/7)+1)-MAX(0,INT((N$5-1-$F20)/7)+1)),IF($D20="Fortnightly",(MAX(0,INT((N$6-$F20)/14)+1)-MAX(0,INT((N$5-1-$F20)/14)+1)),IF($D20="Monthly",((DATE(YEAR(N$5),MONTH(N$5),MIN(DAY($F20),DAY(EOMONTH(N$5,0))))&gt;=MAX(N$5,$F20))*(DATE(YEAR(N$5),MONTH(N$5),MIN(DAY($F20),DAY(EOMONTH(N$5,0))))&lt;=N$6)*(MOD((YEAR(N$5)-YEAR($F20))*12+MONTH(N$5)-MONTH($F20),1)=0)+(MONTH(N$6)&lt;&gt;MONTH(N$5))*(DATE(YEAR(N$6),MONTH(N$6),MIN(DAY($F20),DAY(EOMONTH(N$6,0))))&gt;=$F20)*(DATE(YEAR(N$6),MONTH(N$6),MIN(DAY($F20),DAY(EOMONTH(N$6,0))))&gt;=N$5)*(DATE(YEAR(N$6),MONTH(N$6),MIN(DAY($F20),DAY(EOMONTH(N$6,0))))&lt;=N$6)*(MOD((YEAR(N$6)-YEAR($F20))*12+MONTH(N$6)-MONTH($F20),1)=0)),IF($D20="Quarterly",((DATE(YEAR(N$5),MONTH(N$5),MIN(DAY($F20),DAY(EOMONTH(N$5,0))))&gt;=MAX(N$5,$F20))*(DATE(YEAR(N$5),MONTH(N$5),MIN(DAY($F20),DAY(EOMONTH(N$5,0))))&lt;=N$6)*(MOD((YEAR(N$5)-YEAR($F20))*12+MONTH(N$5)-MONTH($F20),3)=0)+(MONTH(N$6)&lt;&gt;MONTH(N$5))*(DATE(YEAR(N$6),MONTH(N$6),MIN(DAY($F20),DAY(EOMONTH(N$6,0))))&gt;=$F20)*(DATE(YEAR(N$6),MONTH(N$6),MIN(DAY($F20),DAY(EOMONTH(N$6,0))))&gt;=N$5)*(DATE(YEAR(N$6),MONTH(N$6),MIN(DAY($F20),DAY(EOMONTH(N$6,0))))&lt;=N$6)*(MOD((YEAR(N$6)-YEAR($F20))*12+MONTH(N$6)-MONTH($F20),3)=0)),IF($D20="One-off",($F20&gt;=N$5)*($F20&lt;=N$6),0))))))</f>
        <v>0</v>
      </c>
      <c r="O20" s="19">
        <f>IF(OR($E20="",$F20="",$D20=""),0,IF(OR($C20="Loan and finance repayments",$C20="VAT and taxes",$C20="Capital expenditure",$C20="Licences and regulatory fees"),1,1+CostAdj)*$E20*IF($D20="Weekly",(MAX(0,INT((O$6-$F20)/7)+1)-MAX(0,INT((O$5-1-$F20)/7)+1)),IF($D20="Fortnightly",(MAX(0,INT((O$6-$F20)/14)+1)-MAX(0,INT((O$5-1-$F20)/14)+1)),IF($D20="Monthly",((DATE(YEAR(O$5),MONTH(O$5),MIN(DAY($F20),DAY(EOMONTH(O$5,0))))&gt;=MAX(O$5,$F20))*(DATE(YEAR(O$5),MONTH(O$5),MIN(DAY($F20),DAY(EOMONTH(O$5,0))))&lt;=O$6)*(MOD((YEAR(O$5)-YEAR($F20))*12+MONTH(O$5)-MONTH($F20),1)=0)+(MONTH(O$6)&lt;&gt;MONTH(O$5))*(DATE(YEAR(O$6),MONTH(O$6),MIN(DAY($F20),DAY(EOMONTH(O$6,0))))&gt;=$F20)*(DATE(YEAR(O$6),MONTH(O$6),MIN(DAY($F20),DAY(EOMONTH(O$6,0))))&gt;=O$5)*(DATE(YEAR(O$6),MONTH(O$6),MIN(DAY($F20),DAY(EOMONTH(O$6,0))))&lt;=O$6)*(MOD((YEAR(O$6)-YEAR($F20))*12+MONTH(O$6)-MONTH($F20),1)=0)),IF($D20="Quarterly",((DATE(YEAR(O$5),MONTH(O$5),MIN(DAY($F20),DAY(EOMONTH(O$5,0))))&gt;=MAX(O$5,$F20))*(DATE(YEAR(O$5),MONTH(O$5),MIN(DAY($F20),DAY(EOMONTH(O$5,0))))&lt;=O$6)*(MOD((YEAR(O$5)-YEAR($F20))*12+MONTH(O$5)-MONTH($F20),3)=0)+(MONTH(O$6)&lt;&gt;MONTH(O$5))*(DATE(YEAR(O$6),MONTH(O$6),MIN(DAY($F20),DAY(EOMONTH(O$6,0))))&gt;=$F20)*(DATE(YEAR(O$6),MONTH(O$6),MIN(DAY($F20),DAY(EOMONTH(O$6,0))))&gt;=O$5)*(DATE(YEAR(O$6),MONTH(O$6),MIN(DAY($F20),DAY(EOMONTH(O$6,0))))&lt;=O$6)*(MOD((YEAR(O$6)-YEAR($F20))*12+MONTH(O$6)-MONTH($F20),3)=0)),IF($D20="One-off",($F20&gt;=O$5)*($F20&lt;=O$6),0))))))</f>
        <v>0</v>
      </c>
      <c r="P20" s="19">
        <f>IF(OR($E20="",$F20="",$D20=""),0,IF(OR($C20="Loan and finance repayments",$C20="VAT and taxes",$C20="Capital expenditure",$C20="Licences and regulatory fees"),1,1+CostAdj)*$E20*IF($D20="Weekly",(MAX(0,INT((P$6-$F20)/7)+1)-MAX(0,INT((P$5-1-$F20)/7)+1)),IF($D20="Fortnightly",(MAX(0,INT((P$6-$F20)/14)+1)-MAX(0,INT((P$5-1-$F20)/14)+1)),IF($D20="Monthly",((DATE(YEAR(P$5),MONTH(P$5),MIN(DAY($F20),DAY(EOMONTH(P$5,0))))&gt;=MAX(P$5,$F20))*(DATE(YEAR(P$5),MONTH(P$5),MIN(DAY($F20),DAY(EOMONTH(P$5,0))))&lt;=P$6)*(MOD((YEAR(P$5)-YEAR($F20))*12+MONTH(P$5)-MONTH($F20),1)=0)+(MONTH(P$6)&lt;&gt;MONTH(P$5))*(DATE(YEAR(P$6),MONTH(P$6),MIN(DAY($F20),DAY(EOMONTH(P$6,0))))&gt;=$F20)*(DATE(YEAR(P$6),MONTH(P$6),MIN(DAY($F20),DAY(EOMONTH(P$6,0))))&gt;=P$5)*(DATE(YEAR(P$6),MONTH(P$6),MIN(DAY($F20),DAY(EOMONTH(P$6,0))))&lt;=P$6)*(MOD((YEAR(P$6)-YEAR($F20))*12+MONTH(P$6)-MONTH($F20),1)=0)),IF($D20="Quarterly",((DATE(YEAR(P$5),MONTH(P$5),MIN(DAY($F20),DAY(EOMONTH(P$5,0))))&gt;=MAX(P$5,$F20))*(DATE(YEAR(P$5),MONTH(P$5),MIN(DAY($F20),DAY(EOMONTH(P$5,0))))&lt;=P$6)*(MOD((YEAR(P$5)-YEAR($F20))*12+MONTH(P$5)-MONTH($F20),3)=0)+(MONTH(P$6)&lt;&gt;MONTH(P$5))*(DATE(YEAR(P$6),MONTH(P$6),MIN(DAY($F20),DAY(EOMONTH(P$6,0))))&gt;=$F20)*(DATE(YEAR(P$6),MONTH(P$6),MIN(DAY($F20),DAY(EOMONTH(P$6,0))))&gt;=P$5)*(DATE(YEAR(P$6),MONTH(P$6),MIN(DAY($F20),DAY(EOMONTH(P$6,0))))&lt;=P$6)*(MOD((YEAR(P$6)-YEAR($F20))*12+MONTH(P$6)-MONTH($F20),3)=0)),IF($D20="One-off",($F20&gt;=P$5)*($F20&lt;=P$6),0))))))</f>
        <v>0</v>
      </c>
      <c r="Q20" s="19">
        <f>IF(OR($E20="",$F20="",$D20=""),0,IF(OR($C20="Loan and finance repayments",$C20="VAT and taxes",$C20="Capital expenditure",$C20="Licences and regulatory fees"),1,1+CostAdj)*$E20*IF($D20="Weekly",(MAX(0,INT((Q$6-$F20)/7)+1)-MAX(0,INT((Q$5-1-$F20)/7)+1)),IF($D20="Fortnightly",(MAX(0,INT((Q$6-$F20)/14)+1)-MAX(0,INT((Q$5-1-$F20)/14)+1)),IF($D20="Monthly",((DATE(YEAR(Q$5),MONTH(Q$5),MIN(DAY($F20),DAY(EOMONTH(Q$5,0))))&gt;=MAX(Q$5,$F20))*(DATE(YEAR(Q$5),MONTH(Q$5),MIN(DAY($F20),DAY(EOMONTH(Q$5,0))))&lt;=Q$6)*(MOD((YEAR(Q$5)-YEAR($F20))*12+MONTH(Q$5)-MONTH($F20),1)=0)+(MONTH(Q$6)&lt;&gt;MONTH(Q$5))*(DATE(YEAR(Q$6),MONTH(Q$6),MIN(DAY($F20),DAY(EOMONTH(Q$6,0))))&gt;=$F20)*(DATE(YEAR(Q$6),MONTH(Q$6),MIN(DAY($F20),DAY(EOMONTH(Q$6,0))))&gt;=Q$5)*(DATE(YEAR(Q$6),MONTH(Q$6),MIN(DAY($F20),DAY(EOMONTH(Q$6,0))))&lt;=Q$6)*(MOD((YEAR(Q$6)-YEAR($F20))*12+MONTH(Q$6)-MONTH($F20),1)=0)),IF($D20="Quarterly",((DATE(YEAR(Q$5),MONTH(Q$5),MIN(DAY($F20),DAY(EOMONTH(Q$5,0))))&gt;=MAX(Q$5,$F20))*(DATE(YEAR(Q$5),MONTH(Q$5),MIN(DAY($F20),DAY(EOMONTH(Q$5,0))))&lt;=Q$6)*(MOD((YEAR(Q$5)-YEAR($F20))*12+MONTH(Q$5)-MONTH($F20),3)=0)+(MONTH(Q$6)&lt;&gt;MONTH(Q$5))*(DATE(YEAR(Q$6),MONTH(Q$6),MIN(DAY($F20),DAY(EOMONTH(Q$6,0))))&gt;=$F20)*(DATE(YEAR(Q$6),MONTH(Q$6),MIN(DAY($F20),DAY(EOMONTH(Q$6,0))))&gt;=Q$5)*(DATE(YEAR(Q$6),MONTH(Q$6),MIN(DAY($F20),DAY(EOMONTH(Q$6,0))))&lt;=Q$6)*(MOD((YEAR(Q$6)-YEAR($F20))*12+MONTH(Q$6)-MONTH($F20),3)=0)),IF($D20="One-off",($F20&gt;=Q$5)*($F20&lt;=Q$6),0))))))</f>
        <v>0</v>
      </c>
      <c r="R20" s="19">
        <f>IF(OR($E20="",$F20="",$D20=""),0,IF(OR($C20="Loan and finance repayments",$C20="VAT and taxes",$C20="Capital expenditure",$C20="Licences and regulatory fees"),1,1+CostAdj)*$E20*IF($D20="Weekly",(MAX(0,INT((R$6-$F20)/7)+1)-MAX(0,INT((R$5-1-$F20)/7)+1)),IF($D20="Fortnightly",(MAX(0,INT((R$6-$F20)/14)+1)-MAX(0,INT((R$5-1-$F20)/14)+1)),IF($D20="Monthly",((DATE(YEAR(R$5),MONTH(R$5),MIN(DAY($F20),DAY(EOMONTH(R$5,0))))&gt;=MAX(R$5,$F20))*(DATE(YEAR(R$5),MONTH(R$5),MIN(DAY($F20),DAY(EOMONTH(R$5,0))))&lt;=R$6)*(MOD((YEAR(R$5)-YEAR($F20))*12+MONTH(R$5)-MONTH($F20),1)=0)+(MONTH(R$6)&lt;&gt;MONTH(R$5))*(DATE(YEAR(R$6),MONTH(R$6),MIN(DAY($F20),DAY(EOMONTH(R$6,0))))&gt;=$F20)*(DATE(YEAR(R$6),MONTH(R$6),MIN(DAY($F20),DAY(EOMONTH(R$6,0))))&gt;=R$5)*(DATE(YEAR(R$6),MONTH(R$6),MIN(DAY($F20),DAY(EOMONTH(R$6,0))))&lt;=R$6)*(MOD((YEAR(R$6)-YEAR($F20))*12+MONTH(R$6)-MONTH($F20),1)=0)),IF($D20="Quarterly",((DATE(YEAR(R$5),MONTH(R$5),MIN(DAY($F20),DAY(EOMONTH(R$5,0))))&gt;=MAX(R$5,$F20))*(DATE(YEAR(R$5),MONTH(R$5),MIN(DAY($F20),DAY(EOMONTH(R$5,0))))&lt;=R$6)*(MOD((YEAR(R$5)-YEAR($F20))*12+MONTH(R$5)-MONTH($F20),3)=0)+(MONTH(R$6)&lt;&gt;MONTH(R$5))*(DATE(YEAR(R$6),MONTH(R$6),MIN(DAY($F20),DAY(EOMONTH(R$6,0))))&gt;=$F20)*(DATE(YEAR(R$6),MONTH(R$6),MIN(DAY($F20),DAY(EOMONTH(R$6,0))))&gt;=R$5)*(DATE(YEAR(R$6),MONTH(R$6),MIN(DAY($F20),DAY(EOMONTH(R$6,0))))&lt;=R$6)*(MOD((YEAR(R$6)-YEAR($F20))*12+MONTH(R$6)-MONTH($F20),3)=0)),IF($D20="One-off",($F20&gt;=R$5)*($F20&lt;=R$6),0))))))</f>
        <v>0</v>
      </c>
      <c r="S20" s="19">
        <f>IF(OR($E20="",$F20="",$D20=""),0,IF(OR($C20="Loan and finance repayments",$C20="VAT and taxes",$C20="Capital expenditure",$C20="Licences and regulatory fees"),1,1+CostAdj)*$E20*IF($D20="Weekly",(MAX(0,INT((S$6-$F20)/7)+1)-MAX(0,INT((S$5-1-$F20)/7)+1)),IF($D20="Fortnightly",(MAX(0,INT((S$6-$F20)/14)+1)-MAX(0,INT((S$5-1-$F20)/14)+1)),IF($D20="Monthly",((DATE(YEAR(S$5),MONTH(S$5),MIN(DAY($F20),DAY(EOMONTH(S$5,0))))&gt;=MAX(S$5,$F20))*(DATE(YEAR(S$5),MONTH(S$5),MIN(DAY($F20),DAY(EOMONTH(S$5,0))))&lt;=S$6)*(MOD((YEAR(S$5)-YEAR($F20))*12+MONTH(S$5)-MONTH($F20),1)=0)+(MONTH(S$6)&lt;&gt;MONTH(S$5))*(DATE(YEAR(S$6),MONTH(S$6),MIN(DAY($F20),DAY(EOMONTH(S$6,0))))&gt;=$F20)*(DATE(YEAR(S$6),MONTH(S$6),MIN(DAY($F20),DAY(EOMONTH(S$6,0))))&gt;=S$5)*(DATE(YEAR(S$6),MONTH(S$6),MIN(DAY($F20),DAY(EOMONTH(S$6,0))))&lt;=S$6)*(MOD((YEAR(S$6)-YEAR($F20))*12+MONTH(S$6)-MONTH($F20),1)=0)),IF($D20="Quarterly",((DATE(YEAR(S$5),MONTH(S$5),MIN(DAY($F20),DAY(EOMONTH(S$5,0))))&gt;=MAX(S$5,$F20))*(DATE(YEAR(S$5),MONTH(S$5),MIN(DAY($F20),DAY(EOMONTH(S$5,0))))&lt;=S$6)*(MOD((YEAR(S$5)-YEAR($F20))*12+MONTH(S$5)-MONTH($F20),3)=0)+(MONTH(S$6)&lt;&gt;MONTH(S$5))*(DATE(YEAR(S$6),MONTH(S$6),MIN(DAY($F20),DAY(EOMONTH(S$6,0))))&gt;=$F20)*(DATE(YEAR(S$6),MONTH(S$6),MIN(DAY($F20),DAY(EOMONTH(S$6,0))))&gt;=S$5)*(DATE(YEAR(S$6),MONTH(S$6),MIN(DAY($F20),DAY(EOMONTH(S$6,0))))&lt;=S$6)*(MOD((YEAR(S$6)-YEAR($F20))*12+MONTH(S$6)-MONTH($F20),3)=0)),IF($D20="One-off",($F20&gt;=S$5)*($F20&lt;=S$6),0))))))</f>
        <v>0</v>
      </c>
      <c r="T20" s="19">
        <f>IF(OR($E20="",$F20="",$D20=""),0,IF(OR($C20="Loan and finance repayments",$C20="VAT and taxes",$C20="Capital expenditure",$C20="Licences and regulatory fees"),1,1+CostAdj)*$E20*IF($D20="Weekly",(MAX(0,INT((T$6-$F20)/7)+1)-MAX(0,INT((T$5-1-$F20)/7)+1)),IF($D20="Fortnightly",(MAX(0,INT((T$6-$F20)/14)+1)-MAX(0,INT((T$5-1-$F20)/14)+1)),IF($D20="Monthly",((DATE(YEAR(T$5),MONTH(T$5),MIN(DAY($F20),DAY(EOMONTH(T$5,0))))&gt;=MAX(T$5,$F20))*(DATE(YEAR(T$5),MONTH(T$5),MIN(DAY($F20),DAY(EOMONTH(T$5,0))))&lt;=T$6)*(MOD((YEAR(T$5)-YEAR($F20))*12+MONTH(T$5)-MONTH($F20),1)=0)+(MONTH(T$6)&lt;&gt;MONTH(T$5))*(DATE(YEAR(T$6),MONTH(T$6),MIN(DAY($F20),DAY(EOMONTH(T$6,0))))&gt;=$F20)*(DATE(YEAR(T$6),MONTH(T$6),MIN(DAY($F20),DAY(EOMONTH(T$6,0))))&gt;=T$5)*(DATE(YEAR(T$6),MONTH(T$6),MIN(DAY($F20),DAY(EOMONTH(T$6,0))))&lt;=T$6)*(MOD((YEAR(T$6)-YEAR($F20))*12+MONTH(T$6)-MONTH($F20),1)=0)),IF($D20="Quarterly",((DATE(YEAR(T$5),MONTH(T$5),MIN(DAY($F20),DAY(EOMONTH(T$5,0))))&gt;=MAX(T$5,$F20))*(DATE(YEAR(T$5),MONTH(T$5),MIN(DAY($F20),DAY(EOMONTH(T$5,0))))&lt;=T$6)*(MOD((YEAR(T$5)-YEAR($F20))*12+MONTH(T$5)-MONTH($F20),3)=0)+(MONTH(T$6)&lt;&gt;MONTH(T$5))*(DATE(YEAR(T$6),MONTH(T$6),MIN(DAY($F20),DAY(EOMONTH(T$6,0))))&gt;=$F20)*(DATE(YEAR(T$6),MONTH(T$6),MIN(DAY($F20),DAY(EOMONTH(T$6,0))))&gt;=T$5)*(DATE(YEAR(T$6),MONTH(T$6),MIN(DAY($F20),DAY(EOMONTH(T$6,0))))&lt;=T$6)*(MOD((YEAR(T$6)-YEAR($F20))*12+MONTH(T$6)-MONTH($F20),3)=0)),IF($D20="One-off",($F20&gt;=T$5)*($F20&lt;=T$6),0))))))</f>
        <v>0</v>
      </c>
      <c r="U20" s="36">
        <f>SUM(H20:T20)</f>
        <v>12000</v>
      </c>
    </row>
    <row r="21" spans="1:21">
      <c r="A21" s="42">
        <v>13</v>
      </c>
      <c r="B21" s="7" t="s">
        <v>144</v>
      </c>
      <c r="C21" s="7" t="s">
        <v>9</v>
      </c>
      <c r="D21" s="7" t="s">
        <v>15</v>
      </c>
      <c r="E21" s="18">
        <v>26000</v>
      </c>
      <c r="F21" s="17">
        <v>46300</v>
      </c>
      <c r="G21" s="7"/>
      <c r="H21" s="19">
        <f>IF(OR($E21="",$F21="",$D21=""),0,IF(OR($C21="Loan and finance repayments",$C21="VAT and taxes",$C21="Capital expenditure",$C21="Licences and regulatory fees"),1,1+CostAdj)*$E21*IF($D21="Weekly",(MAX(0,INT((H$6-$F21)/7)+1)-MAX(0,INT((H$5-1-$F21)/7)+1)),IF($D21="Fortnightly",(MAX(0,INT((H$6-$F21)/14)+1)-MAX(0,INT((H$5-1-$F21)/14)+1)),IF($D21="Monthly",((DATE(YEAR(H$5),MONTH(H$5),MIN(DAY($F21),DAY(EOMONTH(H$5,0))))&gt;=MAX(H$5,$F21))*(DATE(YEAR(H$5),MONTH(H$5),MIN(DAY($F21),DAY(EOMONTH(H$5,0))))&lt;=H$6)*(MOD((YEAR(H$5)-YEAR($F21))*12+MONTH(H$5)-MONTH($F21),1)=0)+(MONTH(H$6)&lt;&gt;MONTH(H$5))*(DATE(YEAR(H$6),MONTH(H$6),MIN(DAY($F21),DAY(EOMONTH(H$6,0))))&gt;=$F21)*(DATE(YEAR(H$6),MONTH(H$6),MIN(DAY($F21),DAY(EOMONTH(H$6,0))))&gt;=H$5)*(DATE(YEAR(H$6),MONTH(H$6),MIN(DAY($F21),DAY(EOMONTH(H$6,0))))&lt;=H$6)*(MOD((YEAR(H$6)-YEAR($F21))*12+MONTH(H$6)-MONTH($F21),1)=0)),IF($D21="Quarterly",((DATE(YEAR(H$5),MONTH(H$5),MIN(DAY($F21),DAY(EOMONTH(H$5,0))))&gt;=MAX(H$5,$F21))*(DATE(YEAR(H$5),MONTH(H$5),MIN(DAY($F21),DAY(EOMONTH(H$5,0))))&lt;=H$6)*(MOD((YEAR(H$5)-YEAR($F21))*12+MONTH(H$5)-MONTH($F21),3)=0)+(MONTH(H$6)&lt;&gt;MONTH(H$5))*(DATE(YEAR(H$6),MONTH(H$6),MIN(DAY($F21),DAY(EOMONTH(H$6,0))))&gt;=$F21)*(DATE(YEAR(H$6),MONTH(H$6),MIN(DAY($F21),DAY(EOMONTH(H$6,0))))&gt;=H$5)*(DATE(YEAR(H$6),MONTH(H$6),MIN(DAY($F21),DAY(EOMONTH(H$6,0))))&lt;=H$6)*(MOD((YEAR(H$6)-YEAR($F21))*12+MONTH(H$6)-MONTH($F21),3)=0)),IF($D21="One-off",($F21&gt;=H$5)*($F21&lt;=H$6),0))))))</f>
        <v>26000</v>
      </c>
      <c r="I21" s="19">
        <f>IF(OR($E21="",$F21="",$D21=""),0,IF(OR($C21="Loan and finance repayments",$C21="VAT and taxes",$C21="Capital expenditure",$C21="Licences and regulatory fees"),1,1+CostAdj)*$E21*IF($D21="Weekly",(MAX(0,INT((I$6-$F21)/7)+1)-MAX(0,INT((I$5-1-$F21)/7)+1)),IF($D21="Fortnightly",(MAX(0,INT((I$6-$F21)/14)+1)-MAX(0,INT((I$5-1-$F21)/14)+1)),IF($D21="Monthly",((DATE(YEAR(I$5),MONTH(I$5),MIN(DAY($F21),DAY(EOMONTH(I$5,0))))&gt;=MAX(I$5,$F21))*(DATE(YEAR(I$5),MONTH(I$5),MIN(DAY($F21),DAY(EOMONTH(I$5,0))))&lt;=I$6)*(MOD((YEAR(I$5)-YEAR($F21))*12+MONTH(I$5)-MONTH($F21),1)=0)+(MONTH(I$6)&lt;&gt;MONTH(I$5))*(DATE(YEAR(I$6),MONTH(I$6),MIN(DAY($F21),DAY(EOMONTH(I$6,0))))&gt;=$F21)*(DATE(YEAR(I$6),MONTH(I$6),MIN(DAY($F21),DAY(EOMONTH(I$6,0))))&gt;=I$5)*(DATE(YEAR(I$6),MONTH(I$6),MIN(DAY($F21),DAY(EOMONTH(I$6,0))))&lt;=I$6)*(MOD((YEAR(I$6)-YEAR($F21))*12+MONTH(I$6)-MONTH($F21),1)=0)),IF($D21="Quarterly",((DATE(YEAR(I$5),MONTH(I$5),MIN(DAY($F21),DAY(EOMONTH(I$5,0))))&gt;=MAX(I$5,$F21))*(DATE(YEAR(I$5),MONTH(I$5),MIN(DAY($F21),DAY(EOMONTH(I$5,0))))&lt;=I$6)*(MOD((YEAR(I$5)-YEAR($F21))*12+MONTH(I$5)-MONTH($F21),3)=0)+(MONTH(I$6)&lt;&gt;MONTH(I$5))*(DATE(YEAR(I$6),MONTH(I$6),MIN(DAY($F21),DAY(EOMONTH(I$6,0))))&gt;=$F21)*(DATE(YEAR(I$6),MONTH(I$6),MIN(DAY($F21),DAY(EOMONTH(I$6,0))))&gt;=I$5)*(DATE(YEAR(I$6),MONTH(I$6),MIN(DAY($F21),DAY(EOMONTH(I$6,0))))&lt;=I$6)*(MOD((YEAR(I$6)-YEAR($F21))*12+MONTH(I$6)-MONTH($F21),3)=0)),IF($D21="One-off",($F21&gt;=I$5)*($F21&lt;=I$6),0))))))</f>
        <v>0</v>
      </c>
      <c r="J21" s="19">
        <f>IF(OR($E21="",$F21="",$D21=""),0,IF(OR($C21="Loan and finance repayments",$C21="VAT and taxes",$C21="Capital expenditure",$C21="Licences and regulatory fees"),1,1+CostAdj)*$E21*IF($D21="Weekly",(MAX(0,INT((J$6-$F21)/7)+1)-MAX(0,INT((J$5-1-$F21)/7)+1)),IF($D21="Fortnightly",(MAX(0,INT((J$6-$F21)/14)+1)-MAX(0,INT((J$5-1-$F21)/14)+1)),IF($D21="Monthly",((DATE(YEAR(J$5),MONTH(J$5),MIN(DAY($F21),DAY(EOMONTH(J$5,0))))&gt;=MAX(J$5,$F21))*(DATE(YEAR(J$5),MONTH(J$5),MIN(DAY($F21),DAY(EOMONTH(J$5,0))))&lt;=J$6)*(MOD((YEAR(J$5)-YEAR($F21))*12+MONTH(J$5)-MONTH($F21),1)=0)+(MONTH(J$6)&lt;&gt;MONTH(J$5))*(DATE(YEAR(J$6),MONTH(J$6),MIN(DAY($F21),DAY(EOMONTH(J$6,0))))&gt;=$F21)*(DATE(YEAR(J$6),MONTH(J$6),MIN(DAY($F21),DAY(EOMONTH(J$6,0))))&gt;=J$5)*(DATE(YEAR(J$6),MONTH(J$6),MIN(DAY($F21),DAY(EOMONTH(J$6,0))))&lt;=J$6)*(MOD((YEAR(J$6)-YEAR($F21))*12+MONTH(J$6)-MONTH($F21),1)=0)),IF($D21="Quarterly",((DATE(YEAR(J$5),MONTH(J$5),MIN(DAY($F21),DAY(EOMONTH(J$5,0))))&gt;=MAX(J$5,$F21))*(DATE(YEAR(J$5),MONTH(J$5),MIN(DAY($F21),DAY(EOMONTH(J$5,0))))&lt;=J$6)*(MOD((YEAR(J$5)-YEAR($F21))*12+MONTH(J$5)-MONTH($F21),3)=0)+(MONTH(J$6)&lt;&gt;MONTH(J$5))*(DATE(YEAR(J$6),MONTH(J$6),MIN(DAY($F21),DAY(EOMONTH(J$6,0))))&gt;=$F21)*(DATE(YEAR(J$6),MONTH(J$6),MIN(DAY($F21),DAY(EOMONTH(J$6,0))))&gt;=J$5)*(DATE(YEAR(J$6),MONTH(J$6),MIN(DAY($F21),DAY(EOMONTH(J$6,0))))&lt;=J$6)*(MOD((YEAR(J$6)-YEAR($F21))*12+MONTH(J$6)-MONTH($F21),3)=0)),IF($D21="One-off",($F21&gt;=J$5)*($F21&lt;=J$6),0))))))</f>
        <v>0</v>
      </c>
      <c r="K21" s="19">
        <f>IF(OR($E21="",$F21="",$D21=""),0,IF(OR($C21="Loan and finance repayments",$C21="VAT and taxes",$C21="Capital expenditure",$C21="Licences and regulatory fees"),1,1+CostAdj)*$E21*IF($D21="Weekly",(MAX(0,INT((K$6-$F21)/7)+1)-MAX(0,INT((K$5-1-$F21)/7)+1)),IF($D21="Fortnightly",(MAX(0,INT((K$6-$F21)/14)+1)-MAX(0,INT((K$5-1-$F21)/14)+1)),IF($D21="Monthly",((DATE(YEAR(K$5),MONTH(K$5),MIN(DAY($F21),DAY(EOMONTH(K$5,0))))&gt;=MAX(K$5,$F21))*(DATE(YEAR(K$5),MONTH(K$5),MIN(DAY($F21),DAY(EOMONTH(K$5,0))))&lt;=K$6)*(MOD((YEAR(K$5)-YEAR($F21))*12+MONTH(K$5)-MONTH($F21),1)=0)+(MONTH(K$6)&lt;&gt;MONTH(K$5))*(DATE(YEAR(K$6),MONTH(K$6),MIN(DAY($F21),DAY(EOMONTH(K$6,0))))&gt;=$F21)*(DATE(YEAR(K$6),MONTH(K$6),MIN(DAY($F21),DAY(EOMONTH(K$6,0))))&gt;=K$5)*(DATE(YEAR(K$6),MONTH(K$6),MIN(DAY($F21),DAY(EOMONTH(K$6,0))))&lt;=K$6)*(MOD((YEAR(K$6)-YEAR($F21))*12+MONTH(K$6)-MONTH($F21),1)=0)),IF($D21="Quarterly",((DATE(YEAR(K$5),MONTH(K$5),MIN(DAY($F21),DAY(EOMONTH(K$5,0))))&gt;=MAX(K$5,$F21))*(DATE(YEAR(K$5),MONTH(K$5),MIN(DAY($F21),DAY(EOMONTH(K$5,0))))&lt;=K$6)*(MOD((YEAR(K$5)-YEAR($F21))*12+MONTH(K$5)-MONTH($F21),3)=0)+(MONTH(K$6)&lt;&gt;MONTH(K$5))*(DATE(YEAR(K$6),MONTH(K$6),MIN(DAY($F21),DAY(EOMONTH(K$6,0))))&gt;=$F21)*(DATE(YEAR(K$6),MONTH(K$6),MIN(DAY($F21),DAY(EOMONTH(K$6,0))))&gt;=K$5)*(DATE(YEAR(K$6),MONTH(K$6),MIN(DAY($F21),DAY(EOMONTH(K$6,0))))&lt;=K$6)*(MOD((YEAR(K$6)-YEAR($F21))*12+MONTH(K$6)-MONTH($F21),3)=0)),IF($D21="One-off",($F21&gt;=K$5)*($F21&lt;=K$6),0))))))</f>
        <v>0</v>
      </c>
      <c r="L21" s="19">
        <f>IF(OR($E21="",$F21="",$D21=""),0,IF(OR($C21="Loan and finance repayments",$C21="VAT and taxes",$C21="Capital expenditure",$C21="Licences and regulatory fees"),1,1+CostAdj)*$E21*IF($D21="Weekly",(MAX(0,INT((L$6-$F21)/7)+1)-MAX(0,INT((L$5-1-$F21)/7)+1)),IF($D21="Fortnightly",(MAX(0,INT((L$6-$F21)/14)+1)-MAX(0,INT((L$5-1-$F21)/14)+1)),IF($D21="Monthly",((DATE(YEAR(L$5),MONTH(L$5),MIN(DAY($F21),DAY(EOMONTH(L$5,0))))&gt;=MAX(L$5,$F21))*(DATE(YEAR(L$5),MONTH(L$5),MIN(DAY($F21),DAY(EOMONTH(L$5,0))))&lt;=L$6)*(MOD((YEAR(L$5)-YEAR($F21))*12+MONTH(L$5)-MONTH($F21),1)=0)+(MONTH(L$6)&lt;&gt;MONTH(L$5))*(DATE(YEAR(L$6),MONTH(L$6),MIN(DAY($F21),DAY(EOMONTH(L$6,0))))&gt;=$F21)*(DATE(YEAR(L$6),MONTH(L$6),MIN(DAY($F21),DAY(EOMONTH(L$6,0))))&gt;=L$5)*(DATE(YEAR(L$6),MONTH(L$6),MIN(DAY($F21),DAY(EOMONTH(L$6,0))))&lt;=L$6)*(MOD((YEAR(L$6)-YEAR($F21))*12+MONTH(L$6)-MONTH($F21),1)=0)),IF($D21="Quarterly",((DATE(YEAR(L$5),MONTH(L$5),MIN(DAY($F21),DAY(EOMONTH(L$5,0))))&gt;=MAX(L$5,$F21))*(DATE(YEAR(L$5),MONTH(L$5),MIN(DAY($F21),DAY(EOMONTH(L$5,0))))&lt;=L$6)*(MOD((YEAR(L$5)-YEAR($F21))*12+MONTH(L$5)-MONTH($F21),3)=0)+(MONTH(L$6)&lt;&gt;MONTH(L$5))*(DATE(YEAR(L$6),MONTH(L$6),MIN(DAY($F21),DAY(EOMONTH(L$6,0))))&gt;=$F21)*(DATE(YEAR(L$6),MONTH(L$6),MIN(DAY($F21),DAY(EOMONTH(L$6,0))))&gt;=L$5)*(DATE(YEAR(L$6),MONTH(L$6),MIN(DAY($F21),DAY(EOMONTH(L$6,0))))&lt;=L$6)*(MOD((YEAR(L$6)-YEAR($F21))*12+MONTH(L$6)-MONTH($F21),3)=0)),IF($D21="One-off",($F21&gt;=L$5)*($F21&lt;=L$6),0))))))</f>
        <v>26000</v>
      </c>
      <c r="M21" s="19">
        <f>IF(OR($E21="",$F21="",$D21=""),0,IF(OR($C21="Loan and finance repayments",$C21="VAT and taxes",$C21="Capital expenditure",$C21="Licences and regulatory fees"),1,1+CostAdj)*$E21*IF($D21="Weekly",(MAX(0,INT((M$6-$F21)/7)+1)-MAX(0,INT((M$5-1-$F21)/7)+1)),IF($D21="Fortnightly",(MAX(0,INT((M$6-$F21)/14)+1)-MAX(0,INT((M$5-1-$F21)/14)+1)),IF($D21="Monthly",((DATE(YEAR(M$5),MONTH(M$5),MIN(DAY($F21),DAY(EOMONTH(M$5,0))))&gt;=MAX(M$5,$F21))*(DATE(YEAR(M$5),MONTH(M$5),MIN(DAY($F21),DAY(EOMONTH(M$5,0))))&lt;=M$6)*(MOD((YEAR(M$5)-YEAR($F21))*12+MONTH(M$5)-MONTH($F21),1)=0)+(MONTH(M$6)&lt;&gt;MONTH(M$5))*(DATE(YEAR(M$6),MONTH(M$6),MIN(DAY($F21),DAY(EOMONTH(M$6,0))))&gt;=$F21)*(DATE(YEAR(M$6),MONTH(M$6),MIN(DAY($F21),DAY(EOMONTH(M$6,0))))&gt;=M$5)*(DATE(YEAR(M$6),MONTH(M$6),MIN(DAY($F21),DAY(EOMONTH(M$6,0))))&lt;=M$6)*(MOD((YEAR(M$6)-YEAR($F21))*12+MONTH(M$6)-MONTH($F21),1)=0)),IF($D21="Quarterly",((DATE(YEAR(M$5),MONTH(M$5),MIN(DAY($F21),DAY(EOMONTH(M$5,0))))&gt;=MAX(M$5,$F21))*(DATE(YEAR(M$5),MONTH(M$5),MIN(DAY($F21),DAY(EOMONTH(M$5,0))))&lt;=M$6)*(MOD((YEAR(M$5)-YEAR($F21))*12+MONTH(M$5)-MONTH($F21),3)=0)+(MONTH(M$6)&lt;&gt;MONTH(M$5))*(DATE(YEAR(M$6),MONTH(M$6),MIN(DAY($F21),DAY(EOMONTH(M$6,0))))&gt;=$F21)*(DATE(YEAR(M$6),MONTH(M$6),MIN(DAY($F21),DAY(EOMONTH(M$6,0))))&gt;=M$5)*(DATE(YEAR(M$6),MONTH(M$6),MIN(DAY($F21),DAY(EOMONTH(M$6,0))))&lt;=M$6)*(MOD((YEAR(M$6)-YEAR($F21))*12+MONTH(M$6)-MONTH($F21),3)=0)),IF($D21="One-off",($F21&gt;=M$5)*($F21&lt;=M$6),0))))))</f>
        <v>0</v>
      </c>
      <c r="N21" s="19">
        <f>IF(OR($E21="",$F21="",$D21=""),0,IF(OR($C21="Loan and finance repayments",$C21="VAT and taxes",$C21="Capital expenditure",$C21="Licences and regulatory fees"),1,1+CostAdj)*$E21*IF($D21="Weekly",(MAX(0,INT((N$6-$F21)/7)+1)-MAX(0,INT((N$5-1-$F21)/7)+1)),IF($D21="Fortnightly",(MAX(0,INT((N$6-$F21)/14)+1)-MAX(0,INT((N$5-1-$F21)/14)+1)),IF($D21="Monthly",((DATE(YEAR(N$5),MONTH(N$5),MIN(DAY($F21),DAY(EOMONTH(N$5,0))))&gt;=MAX(N$5,$F21))*(DATE(YEAR(N$5),MONTH(N$5),MIN(DAY($F21),DAY(EOMONTH(N$5,0))))&lt;=N$6)*(MOD((YEAR(N$5)-YEAR($F21))*12+MONTH(N$5)-MONTH($F21),1)=0)+(MONTH(N$6)&lt;&gt;MONTH(N$5))*(DATE(YEAR(N$6),MONTH(N$6),MIN(DAY($F21),DAY(EOMONTH(N$6,0))))&gt;=$F21)*(DATE(YEAR(N$6),MONTH(N$6),MIN(DAY($F21),DAY(EOMONTH(N$6,0))))&gt;=N$5)*(DATE(YEAR(N$6),MONTH(N$6),MIN(DAY($F21),DAY(EOMONTH(N$6,0))))&lt;=N$6)*(MOD((YEAR(N$6)-YEAR($F21))*12+MONTH(N$6)-MONTH($F21),1)=0)),IF($D21="Quarterly",((DATE(YEAR(N$5),MONTH(N$5),MIN(DAY($F21),DAY(EOMONTH(N$5,0))))&gt;=MAX(N$5,$F21))*(DATE(YEAR(N$5),MONTH(N$5),MIN(DAY($F21),DAY(EOMONTH(N$5,0))))&lt;=N$6)*(MOD((YEAR(N$5)-YEAR($F21))*12+MONTH(N$5)-MONTH($F21),3)=0)+(MONTH(N$6)&lt;&gt;MONTH(N$5))*(DATE(YEAR(N$6),MONTH(N$6),MIN(DAY($F21),DAY(EOMONTH(N$6,0))))&gt;=$F21)*(DATE(YEAR(N$6),MONTH(N$6),MIN(DAY($F21),DAY(EOMONTH(N$6,0))))&gt;=N$5)*(DATE(YEAR(N$6),MONTH(N$6),MIN(DAY($F21),DAY(EOMONTH(N$6,0))))&lt;=N$6)*(MOD((YEAR(N$6)-YEAR($F21))*12+MONTH(N$6)-MONTH($F21),3)=0)),IF($D21="One-off",($F21&gt;=N$5)*($F21&lt;=N$6),0))))))</f>
        <v>0</v>
      </c>
      <c r="O21" s="19">
        <f>IF(OR($E21="",$F21="",$D21=""),0,IF(OR($C21="Loan and finance repayments",$C21="VAT and taxes",$C21="Capital expenditure",$C21="Licences and regulatory fees"),1,1+CostAdj)*$E21*IF($D21="Weekly",(MAX(0,INT((O$6-$F21)/7)+1)-MAX(0,INT((O$5-1-$F21)/7)+1)),IF($D21="Fortnightly",(MAX(0,INT((O$6-$F21)/14)+1)-MAX(0,INT((O$5-1-$F21)/14)+1)),IF($D21="Monthly",((DATE(YEAR(O$5),MONTH(O$5),MIN(DAY($F21),DAY(EOMONTH(O$5,0))))&gt;=MAX(O$5,$F21))*(DATE(YEAR(O$5),MONTH(O$5),MIN(DAY($F21),DAY(EOMONTH(O$5,0))))&lt;=O$6)*(MOD((YEAR(O$5)-YEAR($F21))*12+MONTH(O$5)-MONTH($F21),1)=0)+(MONTH(O$6)&lt;&gt;MONTH(O$5))*(DATE(YEAR(O$6),MONTH(O$6),MIN(DAY($F21),DAY(EOMONTH(O$6,0))))&gt;=$F21)*(DATE(YEAR(O$6),MONTH(O$6),MIN(DAY($F21),DAY(EOMONTH(O$6,0))))&gt;=O$5)*(DATE(YEAR(O$6),MONTH(O$6),MIN(DAY($F21),DAY(EOMONTH(O$6,0))))&lt;=O$6)*(MOD((YEAR(O$6)-YEAR($F21))*12+MONTH(O$6)-MONTH($F21),1)=0)),IF($D21="Quarterly",((DATE(YEAR(O$5),MONTH(O$5),MIN(DAY($F21),DAY(EOMONTH(O$5,0))))&gt;=MAX(O$5,$F21))*(DATE(YEAR(O$5),MONTH(O$5),MIN(DAY($F21),DAY(EOMONTH(O$5,0))))&lt;=O$6)*(MOD((YEAR(O$5)-YEAR($F21))*12+MONTH(O$5)-MONTH($F21),3)=0)+(MONTH(O$6)&lt;&gt;MONTH(O$5))*(DATE(YEAR(O$6),MONTH(O$6),MIN(DAY($F21),DAY(EOMONTH(O$6,0))))&gt;=$F21)*(DATE(YEAR(O$6),MONTH(O$6),MIN(DAY($F21),DAY(EOMONTH(O$6,0))))&gt;=O$5)*(DATE(YEAR(O$6),MONTH(O$6),MIN(DAY($F21),DAY(EOMONTH(O$6,0))))&lt;=O$6)*(MOD((YEAR(O$6)-YEAR($F21))*12+MONTH(O$6)-MONTH($F21),3)=0)),IF($D21="One-off",($F21&gt;=O$5)*($F21&lt;=O$6),0))))))</f>
        <v>0</v>
      </c>
      <c r="P21" s="19">
        <f>IF(OR($E21="",$F21="",$D21=""),0,IF(OR($C21="Loan and finance repayments",$C21="VAT and taxes",$C21="Capital expenditure",$C21="Licences and regulatory fees"),1,1+CostAdj)*$E21*IF($D21="Weekly",(MAX(0,INT((P$6-$F21)/7)+1)-MAX(0,INT((P$5-1-$F21)/7)+1)),IF($D21="Fortnightly",(MAX(0,INT((P$6-$F21)/14)+1)-MAX(0,INT((P$5-1-$F21)/14)+1)),IF($D21="Monthly",((DATE(YEAR(P$5),MONTH(P$5),MIN(DAY($F21),DAY(EOMONTH(P$5,0))))&gt;=MAX(P$5,$F21))*(DATE(YEAR(P$5),MONTH(P$5),MIN(DAY($F21),DAY(EOMONTH(P$5,0))))&lt;=P$6)*(MOD((YEAR(P$5)-YEAR($F21))*12+MONTH(P$5)-MONTH($F21),1)=0)+(MONTH(P$6)&lt;&gt;MONTH(P$5))*(DATE(YEAR(P$6),MONTH(P$6),MIN(DAY($F21),DAY(EOMONTH(P$6,0))))&gt;=$F21)*(DATE(YEAR(P$6),MONTH(P$6),MIN(DAY($F21),DAY(EOMONTH(P$6,0))))&gt;=P$5)*(DATE(YEAR(P$6),MONTH(P$6),MIN(DAY($F21),DAY(EOMONTH(P$6,0))))&lt;=P$6)*(MOD((YEAR(P$6)-YEAR($F21))*12+MONTH(P$6)-MONTH($F21),1)=0)),IF($D21="Quarterly",((DATE(YEAR(P$5),MONTH(P$5),MIN(DAY($F21),DAY(EOMONTH(P$5,0))))&gt;=MAX(P$5,$F21))*(DATE(YEAR(P$5),MONTH(P$5),MIN(DAY($F21),DAY(EOMONTH(P$5,0))))&lt;=P$6)*(MOD((YEAR(P$5)-YEAR($F21))*12+MONTH(P$5)-MONTH($F21),3)=0)+(MONTH(P$6)&lt;&gt;MONTH(P$5))*(DATE(YEAR(P$6),MONTH(P$6),MIN(DAY($F21),DAY(EOMONTH(P$6,0))))&gt;=$F21)*(DATE(YEAR(P$6),MONTH(P$6),MIN(DAY($F21),DAY(EOMONTH(P$6,0))))&gt;=P$5)*(DATE(YEAR(P$6),MONTH(P$6),MIN(DAY($F21),DAY(EOMONTH(P$6,0))))&lt;=P$6)*(MOD((YEAR(P$6)-YEAR($F21))*12+MONTH(P$6)-MONTH($F21),3)=0)),IF($D21="One-off",($F21&gt;=P$5)*($F21&lt;=P$6),0))))))</f>
        <v>26000</v>
      </c>
      <c r="Q21" s="19">
        <f>IF(OR($E21="",$F21="",$D21=""),0,IF(OR($C21="Loan and finance repayments",$C21="VAT and taxes",$C21="Capital expenditure",$C21="Licences and regulatory fees"),1,1+CostAdj)*$E21*IF($D21="Weekly",(MAX(0,INT((Q$6-$F21)/7)+1)-MAX(0,INT((Q$5-1-$F21)/7)+1)),IF($D21="Fortnightly",(MAX(0,INT((Q$6-$F21)/14)+1)-MAX(0,INT((Q$5-1-$F21)/14)+1)),IF($D21="Monthly",((DATE(YEAR(Q$5),MONTH(Q$5),MIN(DAY($F21),DAY(EOMONTH(Q$5,0))))&gt;=MAX(Q$5,$F21))*(DATE(YEAR(Q$5),MONTH(Q$5),MIN(DAY($F21),DAY(EOMONTH(Q$5,0))))&lt;=Q$6)*(MOD((YEAR(Q$5)-YEAR($F21))*12+MONTH(Q$5)-MONTH($F21),1)=0)+(MONTH(Q$6)&lt;&gt;MONTH(Q$5))*(DATE(YEAR(Q$6),MONTH(Q$6),MIN(DAY($F21),DAY(EOMONTH(Q$6,0))))&gt;=$F21)*(DATE(YEAR(Q$6),MONTH(Q$6),MIN(DAY($F21),DAY(EOMONTH(Q$6,0))))&gt;=Q$5)*(DATE(YEAR(Q$6),MONTH(Q$6),MIN(DAY($F21),DAY(EOMONTH(Q$6,0))))&lt;=Q$6)*(MOD((YEAR(Q$6)-YEAR($F21))*12+MONTH(Q$6)-MONTH($F21),1)=0)),IF($D21="Quarterly",((DATE(YEAR(Q$5),MONTH(Q$5),MIN(DAY($F21),DAY(EOMONTH(Q$5,0))))&gt;=MAX(Q$5,$F21))*(DATE(YEAR(Q$5),MONTH(Q$5),MIN(DAY($F21),DAY(EOMONTH(Q$5,0))))&lt;=Q$6)*(MOD((YEAR(Q$5)-YEAR($F21))*12+MONTH(Q$5)-MONTH($F21),3)=0)+(MONTH(Q$6)&lt;&gt;MONTH(Q$5))*(DATE(YEAR(Q$6),MONTH(Q$6),MIN(DAY($F21),DAY(EOMONTH(Q$6,0))))&gt;=$F21)*(DATE(YEAR(Q$6),MONTH(Q$6),MIN(DAY($F21),DAY(EOMONTH(Q$6,0))))&gt;=Q$5)*(DATE(YEAR(Q$6),MONTH(Q$6),MIN(DAY($F21),DAY(EOMONTH(Q$6,0))))&lt;=Q$6)*(MOD((YEAR(Q$6)-YEAR($F21))*12+MONTH(Q$6)-MONTH($F21),3)=0)),IF($D21="One-off",($F21&gt;=Q$5)*($F21&lt;=Q$6),0))))))</f>
        <v>0</v>
      </c>
      <c r="R21" s="19">
        <f>IF(OR($E21="",$F21="",$D21=""),0,IF(OR($C21="Loan and finance repayments",$C21="VAT and taxes",$C21="Capital expenditure",$C21="Licences and regulatory fees"),1,1+CostAdj)*$E21*IF($D21="Weekly",(MAX(0,INT((R$6-$F21)/7)+1)-MAX(0,INT((R$5-1-$F21)/7)+1)),IF($D21="Fortnightly",(MAX(0,INT((R$6-$F21)/14)+1)-MAX(0,INT((R$5-1-$F21)/14)+1)),IF($D21="Monthly",((DATE(YEAR(R$5),MONTH(R$5),MIN(DAY($F21),DAY(EOMONTH(R$5,0))))&gt;=MAX(R$5,$F21))*(DATE(YEAR(R$5),MONTH(R$5),MIN(DAY($F21),DAY(EOMONTH(R$5,0))))&lt;=R$6)*(MOD((YEAR(R$5)-YEAR($F21))*12+MONTH(R$5)-MONTH($F21),1)=0)+(MONTH(R$6)&lt;&gt;MONTH(R$5))*(DATE(YEAR(R$6),MONTH(R$6),MIN(DAY($F21),DAY(EOMONTH(R$6,0))))&gt;=$F21)*(DATE(YEAR(R$6),MONTH(R$6),MIN(DAY($F21),DAY(EOMONTH(R$6,0))))&gt;=R$5)*(DATE(YEAR(R$6),MONTH(R$6),MIN(DAY($F21),DAY(EOMONTH(R$6,0))))&lt;=R$6)*(MOD((YEAR(R$6)-YEAR($F21))*12+MONTH(R$6)-MONTH($F21),1)=0)),IF($D21="Quarterly",((DATE(YEAR(R$5),MONTH(R$5),MIN(DAY($F21),DAY(EOMONTH(R$5,0))))&gt;=MAX(R$5,$F21))*(DATE(YEAR(R$5),MONTH(R$5),MIN(DAY($F21),DAY(EOMONTH(R$5,0))))&lt;=R$6)*(MOD((YEAR(R$5)-YEAR($F21))*12+MONTH(R$5)-MONTH($F21),3)=0)+(MONTH(R$6)&lt;&gt;MONTH(R$5))*(DATE(YEAR(R$6),MONTH(R$6),MIN(DAY($F21),DAY(EOMONTH(R$6,0))))&gt;=$F21)*(DATE(YEAR(R$6),MONTH(R$6),MIN(DAY($F21),DAY(EOMONTH(R$6,0))))&gt;=R$5)*(DATE(YEAR(R$6),MONTH(R$6),MIN(DAY($F21),DAY(EOMONTH(R$6,0))))&lt;=R$6)*(MOD((YEAR(R$6)-YEAR($F21))*12+MONTH(R$6)-MONTH($F21),3)=0)),IF($D21="One-off",($F21&gt;=R$5)*($F21&lt;=R$6),0))))))</f>
        <v>0</v>
      </c>
      <c r="S21" s="19">
        <f>IF(OR($E21="",$F21="",$D21=""),0,IF(OR($C21="Loan and finance repayments",$C21="VAT and taxes",$C21="Capital expenditure",$C21="Licences and regulatory fees"),1,1+CostAdj)*$E21*IF($D21="Weekly",(MAX(0,INT((S$6-$F21)/7)+1)-MAX(0,INT((S$5-1-$F21)/7)+1)),IF($D21="Fortnightly",(MAX(0,INT((S$6-$F21)/14)+1)-MAX(0,INT((S$5-1-$F21)/14)+1)),IF($D21="Monthly",((DATE(YEAR(S$5),MONTH(S$5),MIN(DAY($F21),DAY(EOMONTH(S$5,0))))&gt;=MAX(S$5,$F21))*(DATE(YEAR(S$5),MONTH(S$5),MIN(DAY($F21),DAY(EOMONTH(S$5,0))))&lt;=S$6)*(MOD((YEAR(S$5)-YEAR($F21))*12+MONTH(S$5)-MONTH($F21),1)=0)+(MONTH(S$6)&lt;&gt;MONTH(S$5))*(DATE(YEAR(S$6),MONTH(S$6),MIN(DAY($F21),DAY(EOMONTH(S$6,0))))&gt;=$F21)*(DATE(YEAR(S$6),MONTH(S$6),MIN(DAY($F21),DAY(EOMONTH(S$6,0))))&gt;=S$5)*(DATE(YEAR(S$6),MONTH(S$6),MIN(DAY($F21),DAY(EOMONTH(S$6,0))))&lt;=S$6)*(MOD((YEAR(S$6)-YEAR($F21))*12+MONTH(S$6)-MONTH($F21),1)=0)),IF($D21="Quarterly",((DATE(YEAR(S$5),MONTH(S$5),MIN(DAY($F21),DAY(EOMONTH(S$5,0))))&gt;=MAX(S$5,$F21))*(DATE(YEAR(S$5),MONTH(S$5),MIN(DAY($F21),DAY(EOMONTH(S$5,0))))&lt;=S$6)*(MOD((YEAR(S$5)-YEAR($F21))*12+MONTH(S$5)-MONTH($F21),3)=0)+(MONTH(S$6)&lt;&gt;MONTH(S$5))*(DATE(YEAR(S$6),MONTH(S$6),MIN(DAY($F21),DAY(EOMONTH(S$6,0))))&gt;=$F21)*(DATE(YEAR(S$6),MONTH(S$6),MIN(DAY($F21),DAY(EOMONTH(S$6,0))))&gt;=S$5)*(DATE(YEAR(S$6),MONTH(S$6),MIN(DAY($F21),DAY(EOMONTH(S$6,0))))&lt;=S$6)*(MOD((YEAR(S$6)-YEAR($F21))*12+MONTH(S$6)-MONTH($F21),3)=0)),IF($D21="One-off",($F21&gt;=S$5)*($F21&lt;=S$6),0))))))</f>
        <v>0</v>
      </c>
      <c r="T21" s="19">
        <f>IF(OR($E21="",$F21="",$D21=""),0,IF(OR($C21="Loan and finance repayments",$C21="VAT and taxes",$C21="Capital expenditure",$C21="Licences and regulatory fees"),1,1+CostAdj)*$E21*IF($D21="Weekly",(MAX(0,INT((T$6-$F21)/7)+1)-MAX(0,INT((T$5-1-$F21)/7)+1)),IF($D21="Fortnightly",(MAX(0,INT((T$6-$F21)/14)+1)-MAX(0,INT((T$5-1-$F21)/14)+1)),IF($D21="Monthly",((DATE(YEAR(T$5),MONTH(T$5),MIN(DAY($F21),DAY(EOMONTH(T$5,0))))&gt;=MAX(T$5,$F21))*(DATE(YEAR(T$5),MONTH(T$5),MIN(DAY($F21),DAY(EOMONTH(T$5,0))))&lt;=T$6)*(MOD((YEAR(T$5)-YEAR($F21))*12+MONTH(T$5)-MONTH($F21),1)=0)+(MONTH(T$6)&lt;&gt;MONTH(T$5))*(DATE(YEAR(T$6),MONTH(T$6),MIN(DAY($F21),DAY(EOMONTH(T$6,0))))&gt;=$F21)*(DATE(YEAR(T$6),MONTH(T$6),MIN(DAY($F21),DAY(EOMONTH(T$6,0))))&gt;=T$5)*(DATE(YEAR(T$6),MONTH(T$6),MIN(DAY($F21),DAY(EOMONTH(T$6,0))))&lt;=T$6)*(MOD((YEAR(T$6)-YEAR($F21))*12+MONTH(T$6)-MONTH($F21),1)=0)),IF($D21="Quarterly",((DATE(YEAR(T$5),MONTH(T$5),MIN(DAY($F21),DAY(EOMONTH(T$5,0))))&gt;=MAX(T$5,$F21))*(DATE(YEAR(T$5),MONTH(T$5),MIN(DAY($F21),DAY(EOMONTH(T$5,0))))&lt;=T$6)*(MOD((YEAR(T$5)-YEAR($F21))*12+MONTH(T$5)-MONTH($F21),3)=0)+(MONTH(T$6)&lt;&gt;MONTH(T$5))*(DATE(YEAR(T$6),MONTH(T$6),MIN(DAY($F21),DAY(EOMONTH(T$6,0))))&gt;=$F21)*(DATE(YEAR(T$6),MONTH(T$6),MIN(DAY($F21),DAY(EOMONTH(T$6,0))))&gt;=T$5)*(DATE(YEAR(T$6),MONTH(T$6),MIN(DAY($F21),DAY(EOMONTH(T$6,0))))&lt;=T$6)*(MOD((YEAR(T$6)-YEAR($F21))*12+MONTH(T$6)-MONTH($F21),3)=0)),IF($D21="One-off",($F21&gt;=T$5)*($F21&lt;=T$6),0))))))</f>
        <v>0</v>
      </c>
      <c r="U21" s="36">
        <f>SUM(H21:T21)</f>
        <v>78000</v>
      </c>
    </row>
    <row r="22" spans="1:21">
      <c r="A22" s="42">
        <v>14</v>
      </c>
      <c r="B22" s="7" t="s">
        <v>145</v>
      </c>
      <c r="C22" s="7" t="s">
        <v>10</v>
      </c>
      <c r="D22" s="7" t="s">
        <v>16</v>
      </c>
      <c r="E22" s="18">
        <v>95000</v>
      </c>
      <c r="F22" s="17">
        <v>46323</v>
      </c>
      <c r="G22" s="7" t="s">
        <v>146</v>
      </c>
      <c r="H22" s="19">
        <f>IF(OR($E22="",$F22="",$D22=""),0,IF(OR($C22="Loan and finance repayments",$C22="VAT and taxes",$C22="Capital expenditure",$C22="Licences and regulatory fees"),1,1+CostAdj)*$E22*IF($D22="Weekly",(MAX(0,INT((H$6-$F22)/7)+1)-MAX(0,INT((H$5-1-$F22)/7)+1)),IF($D22="Fortnightly",(MAX(0,INT((H$6-$F22)/14)+1)-MAX(0,INT((H$5-1-$F22)/14)+1)),IF($D22="Monthly",((DATE(YEAR(H$5),MONTH(H$5),MIN(DAY($F22),DAY(EOMONTH(H$5,0))))&gt;=MAX(H$5,$F22))*(DATE(YEAR(H$5),MONTH(H$5),MIN(DAY($F22),DAY(EOMONTH(H$5,0))))&lt;=H$6)*(MOD((YEAR(H$5)-YEAR($F22))*12+MONTH(H$5)-MONTH($F22),1)=0)+(MONTH(H$6)&lt;&gt;MONTH(H$5))*(DATE(YEAR(H$6),MONTH(H$6),MIN(DAY($F22),DAY(EOMONTH(H$6,0))))&gt;=$F22)*(DATE(YEAR(H$6),MONTH(H$6),MIN(DAY($F22),DAY(EOMONTH(H$6,0))))&gt;=H$5)*(DATE(YEAR(H$6),MONTH(H$6),MIN(DAY($F22),DAY(EOMONTH(H$6,0))))&lt;=H$6)*(MOD((YEAR(H$6)-YEAR($F22))*12+MONTH(H$6)-MONTH($F22),1)=0)),IF($D22="Quarterly",((DATE(YEAR(H$5),MONTH(H$5),MIN(DAY($F22),DAY(EOMONTH(H$5,0))))&gt;=MAX(H$5,$F22))*(DATE(YEAR(H$5),MONTH(H$5),MIN(DAY($F22),DAY(EOMONTH(H$5,0))))&lt;=H$6)*(MOD((YEAR(H$5)-YEAR($F22))*12+MONTH(H$5)-MONTH($F22),3)=0)+(MONTH(H$6)&lt;&gt;MONTH(H$5))*(DATE(YEAR(H$6),MONTH(H$6),MIN(DAY($F22),DAY(EOMONTH(H$6,0))))&gt;=$F22)*(DATE(YEAR(H$6),MONTH(H$6),MIN(DAY($F22),DAY(EOMONTH(H$6,0))))&gt;=H$5)*(DATE(YEAR(H$6),MONTH(H$6),MIN(DAY($F22),DAY(EOMONTH(H$6,0))))&lt;=H$6)*(MOD((YEAR(H$6)-YEAR($F22))*12+MONTH(H$6)-MONTH($F22),3)=0)),IF($D22="One-off",($F22&gt;=H$5)*($F22&lt;=H$6),0))))))</f>
        <v>0</v>
      </c>
      <c r="I22" s="19">
        <f>IF(OR($E22="",$F22="",$D22=""),0,IF(OR($C22="Loan and finance repayments",$C22="VAT and taxes",$C22="Capital expenditure",$C22="Licences and regulatory fees"),1,1+CostAdj)*$E22*IF($D22="Weekly",(MAX(0,INT((I$6-$F22)/7)+1)-MAX(0,INT((I$5-1-$F22)/7)+1)),IF($D22="Fortnightly",(MAX(0,INT((I$6-$F22)/14)+1)-MAX(0,INT((I$5-1-$F22)/14)+1)),IF($D22="Monthly",((DATE(YEAR(I$5),MONTH(I$5),MIN(DAY($F22),DAY(EOMONTH(I$5,0))))&gt;=MAX(I$5,$F22))*(DATE(YEAR(I$5),MONTH(I$5),MIN(DAY($F22),DAY(EOMONTH(I$5,0))))&lt;=I$6)*(MOD((YEAR(I$5)-YEAR($F22))*12+MONTH(I$5)-MONTH($F22),1)=0)+(MONTH(I$6)&lt;&gt;MONTH(I$5))*(DATE(YEAR(I$6),MONTH(I$6),MIN(DAY($F22),DAY(EOMONTH(I$6,0))))&gt;=$F22)*(DATE(YEAR(I$6),MONTH(I$6),MIN(DAY($F22),DAY(EOMONTH(I$6,0))))&gt;=I$5)*(DATE(YEAR(I$6),MONTH(I$6),MIN(DAY($F22),DAY(EOMONTH(I$6,0))))&lt;=I$6)*(MOD((YEAR(I$6)-YEAR($F22))*12+MONTH(I$6)-MONTH($F22),1)=0)),IF($D22="Quarterly",((DATE(YEAR(I$5),MONTH(I$5),MIN(DAY($F22),DAY(EOMONTH(I$5,0))))&gt;=MAX(I$5,$F22))*(DATE(YEAR(I$5),MONTH(I$5),MIN(DAY($F22),DAY(EOMONTH(I$5,0))))&lt;=I$6)*(MOD((YEAR(I$5)-YEAR($F22))*12+MONTH(I$5)-MONTH($F22),3)=0)+(MONTH(I$6)&lt;&gt;MONTH(I$5))*(DATE(YEAR(I$6),MONTH(I$6),MIN(DAY($F22),DAY(EOMONTH(I$6,0))))&gt;=$F22)*(DATE(YEAR(I$6),MONTH(I$6),MIN(DAY($F22),DAY(EOMONTH(I$6,0))))&gt;=I$5)*(DATE(YEAR(I$6),MONTH(I$6),MIN(DAY($F22),DAY(EOMONTH(I$6,0))))&lt;=I$6)*(MOD((YEAR(I$6)-YEAR($F22))*12+MONTH(I$6)-MONTH($F22),3)=0)),IF($D22="One-off",($F22&gt;=I$5)*($F22&lt;=I$6),0))))))</f>
        <v>0</v>
      </c>
      <c r="J22" s="19">
        <f>IF(OR($E22="",$F22="",$D22=""),0,IF(OR($C22="Loan and finance repayments",$C22="VAT and taxes",$C22="Capital expenditure",$C22="Licences and regulatory fees"),1,1+CostAdj)*$E22*IF($D22="Weekly",(MAX(0,INT((J$6-$F22)/7)+1)-MAX(0,INT((J$5-1-$F22)/7)+1)),IF($D22="Fortnightly",(MAX(0,INT((J$6-$F22)/14)+1)-MAX(0,INT((J$5-1-$F22)/14)+1)),IF($D22="Monthly",((DATE(YEAR(J$5),MONTH(J$5),MIN(DAY($F22),DAY(EOMONTH(J$5,0))))&gt;=MAX(J$5,$F22))*(DATE(YEAR(J$5),MONTH(J$5),MIN(DAY($F22),DAY(EOMONTH(J$5,0))))&lt;=J$6)*(MOD((YEAR(J$5)-YEAR($F22))*12+MONTH(J$5)-MONTH($F22),1)=0)+(MONTH(J$6)&lt;&gt;MONTH(J$5))*(DATE(YEAR(J$6),MONTH(J$6),MIN(DAY($F22),DAY(EOMONTH(J$6,0))))&gt;=$F22)*(DATE(YEAR(J$6),MONTH(J$6),MIN(DAY($F22),DAY(EOMONTH(J$6,0))))&gt;=J$5)*(DATE(YEAR(J$6),MONTH(J$6),MIN(DAY($F22),DAY(EOMONTH(J$6,0))))&lt;=J$6)*(MOD((YEAR(J$6)-YEAR($F22))*12+MONTH(J$6)-MONTH($F22),1)=0)),IF($D22="Quarterly",((DATE(YEAR(J$5),MONTH(J$5),MIN(DAY($F22),DAY(EOMONTH(J$5,0))))&gt;=MAX(J$5,$F22))*(DATE(YEAR(J$5),MONTH(J$5),MIN(DAY($F22),DAY(EOMONTH(J$5,0))))&lt;=J$6)*(MOD((YEAR(J$5)-YEAR($F22))*12+MONTH(J$5)-MONTH($F22),3)=0)+(MONTH(J$6)&lt;&gt;MONTH(J$5))*(DATE(YEAR(J$6),MONTH(J$6),MIN(DAY($F22),DAY(EOMONTH(J$6,0))))&gt;=$F22)*(DATE(YEAR(J$6),MONTH(J$6),MIN(DAY($F22),DAY(EOMONTH(J$6,0))))&gt;=J$5)*(DATE(YEAR(J$6),MONTH(J$6),MIN(DAY($F22),DAY(EOMONTH(J$6,0))))&lt;=J$6)*(MOD((YEAR(J$6)-YEAR($F22))*12+MONTH(J$6)-MONTH($F22),3)=0)),IF($D22="One-off",($F22&gt;=J$5)*($F22&lt;=J$6),0))))))</f>
        <v>0</v>
      </c>
      <c r="K22" s="19">
        <f>IF(OR($E22="",$F22="",$D22=""),0,IF(OR($C22="Loan and finance repayments",$C22="VAT and taxes",$C22="Capital expenditure",$C22="Licences and regulatory fees"),1,1+CostAdj)*$E22*IF($D22="Weekly",(MAX(0,INT((K$6-$F22)/7)+1)-MAX(0,INT((K$5-1-$F22)/7)+1)),IF($D22="Fortnightly",(MAX(0,INT((K$6-$F22)/14)+1)-MAX(0,INT((K$5-1-$F22)/14)+1)),IF($D22="Monthly",((DATE(YEAR(K$5),MONTH(K$5),MIN(DAY($F22),DAY(EOMONTH(K$5,0))))&gt;=MAX(K$5,$F22))*(DATE(YEAR(K$5),MONTH(K$5),MIN(DAY($F22),DAY(EOMONTH(K$5,0))))&lt;=K$6)*(MOD((YEAR(K$5)-YEAR($F22))*12+MONTH(K$5)-MONTH($F22),1)=0)+(MONTH(K$6)&lt;&gt;MONTH(K$5))*(DATE(YEAR(K$6),MONTH(K$6),MIN(DAY($F22),DAY(EOMONTH(K$6,0))))&gt;=$F22)*(DATE(YEAR(K$6),MONTH(K$6),MIN(DAY($F22),DAY(EOMONTH(K$6,0))))&gt;=K$5)*(DATE(YEAR(K$6),MONTH(K$6),MIN(DAY($F22),DAY(EOMONTH(K$6,0))))&lt;=K$6)*(MOD((YEAR(K$6)-YEAR($F22))*12+MONTH(K$6)-MONTH($F22),1)=0)),IF($D22="Quarterly",((DATE(YEAR(K$5),MONTH(K$5),MIN(DAY($F22),DAY(EOMONTH(K$5,0))))&gt;=MAX(K$5,$F22))*(DATE(YEAR(K$5),MONTH(K$5),MIN(DAY($F22),DAY(EOMONTH(K$5,0))))&lt;=K$6)*(MOD((YEAR(K$5)-YEAR($F22))*12+MONTH(K$5)-MONTH($F22),3)=0)+(MONTH(K$6)&lt;&gt;MONTH(K$5))*(DATE(YEAR(K$6),MONTH(K$6),MIN(DAY($F22),DAY(EOMONTH(K$6,0))))&gt;=$F22)*(DATE(YEAR(K$6),MONTH(K$6),MIN(DAY($F22),DAY(EOMONTH(K$6,0))))&gt;=K$5)*(DATE(YEAR(K$6),MONTH(K$6),MIN(DAY($F22),DAY(EOMONTH(K$6,0))))&lt;=K$6)*(MOD((YEAR(K$6)-YEAR($F22))*12+MONTH(K$6)-MONTH($F22),3)=0)),IF($D22="One-off",($F22&gt;=K$5)*($F22&lt;=K$6),0))))))</f>
        <v>95000</v>
      </c>
      <c r="L22" s="19">
        <f>IF(OR($E22="",$F22="",$D22=""),0,IF(OR($C22="Loan and finance repayments",$C22="VAT and taxes",$C22="Capital expenditure",$C22="Licences and regulatory fees"),1,1+CostAdj)*$E22*IF($D22="Weekly",(MAX(0,INT((L$6-$F22)/7)+1)-MAX(0,INT((L$5-1-$F22)/7)+1)),IF($D22="Fortnightly",(MAX(0,INT((L$6-$F22)/14)+1)-MAX(0,INT((L$5-1-$F22)/14)+1)),IF($D22="Monthly",((DATE(YEAR(L$5),MONTH(L$5),MIN(DAY($F22),DAY(EOMONTH(L$5,0))))&gt;=MAX(L$5,$F22))*(DATE(YEAR(L$5),MONTH(L$5),MIN(DAY($F22),DAY(EOMONTH(L$5,0))))&lt;=L$6)*(MOD((YEAR(L$5)-YEAR($F22))*12+MONTH(L$5)-MONTH($F22),1)=0)+(MONTH(L$6)&lt;&gt;MONTH(L$5))*(DATE(YEAR(L$6),MONTH(L$6),MIN(DAY($F22),DAY(EOMONTH(L$6,0))))&gt;=$F22)*(DATE(YEAR(L$6),MONTH(L$6),MIN(DAY($F22),DAY(EOMONTH(L$6,0))))&gt;=L$5)*(DATE(YEAR(L$6),MONTH(L$6),MIN(DAY($F22),DAY(EOMONTH(L$6,0))))&lt;=L$6)*(MOD((YEAR(L$6)-YEAR($F22))*12+MONTH(L$6)-MONTH($F22),1)=0)),IF($D22="Quarterly",((DATE(YEAR(L$5),MONTH(L$5),MIN(DAY($F22),DAY(EOMONTH(L$5,0))))&gt;=MAX(L$5,$F22))*(DATE(YEAR(L$5),MONTH(L$5),MIN(DAY($F22),DAY(EOMONTH(L$5,0))))&lt;=L$6)*(MOD((YEAR(L$5)-YEAR($F22))*12+MONTH(L$5)-MONTH($F22),3)=0)+(MONTH(L$6)&lt;&gt;MONTH(L$5))*(DATE(YEAR(L$6),MONTH(L$6),MIN(DAY($F22),DAY(EOMONTH(L$6,0))))&gt;=$F22)*(DATE(YEAR(L$6),MONTH(L$6),MIN(DAY($F22),DAY(EOMONTH(L$6,0))))&gt;=L$5)*(DATE(YEAR(L$6),MONTH(L$6),MIN(DAY($F22),DAY(EOMONTH(L$6,0))))&lt;=L$6)*(MOD((YEAR(L$6)-YEAR($F22))*12+MONTH(L$6)-MONTH($F22),3)=0)),IF($D22="One-off",($F22&gt;=L$5)*($F22&lt;=L$6),0))))))</f>
        <v>0</v>
      </c>
      <c r="M22" s="19">
        <f>IF(OR($E22="",$F22="",$D22=""),0,IF(OR($C22="Loan and finance repayments",$C22="VAT and taxes",$C22="Capital expenditure",$C22="Licences and regulatory fees"),1,1+CostAdj)*$E22*IF($D22="Weekly",(MAX(0,INT((M$6-$F22)/7)+1)-MAX(0,INT((M$5-1-$F22)/7)+1)),IF($D22="Fortnightly",(MAX(0,INT((M$6-$F22)/14)+1)-MAX(0,INT((M$5-1-$F22)/14)+1)),IF($D22="Monthly",((DATE(YEAR(M$5),MONTH(M$5),MIN(DAY($F22),DAY(EOMONTH(M$5,0))))&gt;=MAX(M$5,$F22))*(DATE(YEAR(M$5),MONTH(M$5),MIN(DAY($F22),DAY(EOMONTH(M$5,0))))&lt;=M$6)*(MOD((YEAR(M$5)-YEAR($F22))*12+MONTH(M$5)-MONTH($F22),1)=0)+(MONTH(M$6)&lt;&gt;MONTH(M$5))*(DATE(YEAR(M$6),MONTH(M$6),MIN(DAY($F22),DAY(EOMONTH(M$6,0))))&gt;=$F22)*(DATE(YEAR(M$6),MONTH(M$6),MIN(DAY($F22),DAY(EOMONTH(M$6,0))))&gt;=M$5)*(DATE(YEAR(M$6),MONTH(M$6),MIN(DAY($F22),DAY(EOMONTH(M$6,0))))&lt;=M$6)*(MOD((YEAR(M$6)-YEAR($F22))*12+MONTH(M$6)-MONTH($F22),1)=0)),IF($D22="Quarterly",((DATE(YEAR(M$5),MONTH(M$5),MIN(DAY($F22),DAY(EOMONTH(M$5,0))))&gt;=MAX(M$5,$F22))*(DATE(YEAR(M$5),MONTH(M$5),MIN(DAY($F22),DAY(EOMONTH(M$5,0))))&lt;=M$6)*(MOD((YEAR(M$5)-YEAR($F22))*12+MONTH(M$5)-MONTH($F22),3)=0)+(MONTH(M$6)&lt;&gt;MONTH(M$5))*(DATE(YEAR(M$6),MONTH(M$6),MIN(DAY($F22),DAY(EOMONTH(M$6,0))))&gt;=$F22)*(DATE(YEAR(M$6),MONTH(M$6),MIN(DAY($F22),DAY(EOMONTH(M$6,0))))&gt;=M$5)*(DATE(YEAR(M$6),MONTH(M$6),MIN(DAY($F22),DAY(EOMONTH(M$6,0))))&lt;=M$6)*(MOD((YEAR(M$6)-YEAR($F22))*12+MONTH(M$6)-MONTH($F22),3)=0)),IF($D22="One-off",($F22&gt;=M$5)*($F22&lt;=M$6),0))))))</f>
        <v>0</v>
      </c>
      <c r="N22" s="19">
        <f>IF(OR($E22="",$F22="",$D22=""),0,IF(OR($C22="Loan and finance repayments",$C22="VAT and taxes",$C22="Capital expenditure",$C22="Licences and regulatory fees"),1,1+CostAdj)*$E22*IF($D22="Weekly",(MAX(0,INT((N$6-$F22)/7)+1)-MAX(0,INT((N$5-1-$F22)/7)+1)),IF($D22="Fortnightly",(MAX(0,INT((N$6-$F22)/14)+1)-MAX(0,INT((N$5-1-$F22)/14)+1)),IF($D22="Monthly",((DATE(YEAR(N$5),MONTH(N$5),MIN(DAY($F22),DAY(EOMONTH(N$5,0))))&gt;=MAX(N$5,$F22))*(DATE(YEAR(N$5),MONTH(N$5),MIN(DAY($F22),DAY(EOMONTH(N$5,0))))&lt;=N$6)*(MOD((YEAR(N$5)-YEAR($F22))*12+MONTH(N$5)-MONTH($F22),1)=0)+(MONTH(N$6)&lt;&gt;MONTH(N$5))*(DATE(YEAR(N$6),MONTH(N$6),MIN(DAY($F22),DAY(EOMONTH(N$6,0))))&gt;=$F22)*(DATE(YEAR(N$6),MONTH(N$6),MIN(DAY($F22),DAY(EOMONTH(N$6,0))))&gt;=N$5)*(DATE(YEAR(N$6),MONTH(N$6),MIN(DAY($F22),DAY(EOMONTH(N$6,0))))&lt;=N$6)*(MOD((YEAR(N$6)-YEAR($F22))*12+MONTH(N$6)-MONTH($F22),1)=0)),IF($D22="Quarterly",((DATE(YEAR(N$5),MONTH(N$5),MIN(DAY($F22),DAY(EOMONTH(N$5,0))))&gt;=MAX(N$5,$F22))*(DATE(YEAR(N$5),MONTH(N$5),MIN(DAY($F22),DAY(EOMONTH(N$5,0))))&lt;=N$6)*(MOD((YEAR(N$5)-YEAR($F22))*12+MONTH(N$5)-MONTH($F22),3)=0)+(MONTH(N$6)&lt;&gt;MONTH(N$5))*(DATE(YEAR(N$6),MONTH(N$6),MIN(DAY($F22),DAY(EOMONTH(N$6,0))))&gt;=$F22)*(DATE(YEAR(N$6),MONTH(N$6),MIN(DAY($F22),DAY(EOMONTH(N$6,0))))&gt;=N$5)*(DATE(YEAR(N$6),MONTH(N$6),MIN(DAY($F22),DAY(EOMONTH(N$6,0))))&lt;=N$6)*(MOD((YEAR(N$6)-YEAR($F22))*12+MONTH(N$6)-MONTH($F22),3)=0)),IF($D22="One-off",($F22&gt;=N$5)*($F22&lt;=N$6),0))))))</f>
        <v>0</v>
      </c>
      <c r="O22" s="19">
        <f>IF(OR($E22="",$F22="",$D22=""),0,IF(OR($C22="Loan and finance repayments",$C22="VAT and taxes",$C22="Capital expenditure",$C22="Licences and regulatory fees"),1,1+CostAdj)*$E22*IF($D22="Weekly",(MAX(0,INT((O$6-$F22)/7)+1)-MAX(0,INT((O$5-1-$F22)/7)+1)),IF($D22="Fortnightly",(MAX(0,INT((O$6-$F22)/14)+1)-MAX(0,INT((O$5-1-$F22)/14)+1)),IF($D22="Monthly",((DATE(YEAR(O$5),MONTH(O$5),MIN(DAY($F22),DAY(EOMONTH(O$5,0))))&gt;=MAX(O$5,$F22))*(DATE(YEAR(O$5),MONTH(O$5),MIN(DAY($F22),DAY(EOMONTH(O$5,0))))&lt;=O$6)*(MOD((YEAR(O$5)-YEAR($F22))*12+MONTH(O$5)-MONTH($F22),1)=0)+(MONTH(O$6)&lt;&gt;MONTH(O$5))*(DATE(YEAR(O$6),MONTH(O$6),MIN(DAY($F22),DAY(EOMONTH(O$6,0))))&gt;=$F22)*(DATE(YEAR(O$6),MONTH(O$6),MIN(DAY($F22),DAY(EOMONTH(O$6,0))))&gt;=O$5)*(DATE(YEAR(O$6),MONTH(O$6),MIN(DAY($F22),DAY(EOMONTH(O$6,0))))&lt;=O$6)*(MOD((YEAR(O$6)-YEAR($F22))*12+MONTH(O$6)-MONTH($F22),1)=0)),IF($D22="Quarterly",((DATE(YEAR(O$5),MONTH(O$5),MIN(DAY($F22),DAY(EOMONTH(O$5,0))))&gt;=MAX(O$5,$F22))*(DATE(YEAR(O$5),MONTH(O$5),MIN(DAY($F22),DAY(EOMONTH(O$5,0))))&lt;=O$6)*(MOD((YEAR(O$5)-YEAR($F22))*12+MONTH(O$5)-MONTH($F22),3)=0)+(MONTH(O$6)&lt;&gt;MONTH(O$5))*(DATE(YEAR(O$6),MONTH(O$6),MIN(DAY($F22),DAY(EOMONTH(O$6,0))))&gt;=$F22)*(DATE(YEAR(O$6),MONTH(O$6),MIN(DAY($F22),DAY(EOMONTH(O$6,0))))&gt;=O$5)*(DATE(YEAR(O$6),MONTH(O$6),MIN(DAY($F22),DAY(EOMONTH(O$6,0))))&lt;=O$6)*(MOD((YEAR(O$6)-YEAR($F22))*12+MONTH(O$6)-MONTH($F22),3)=0)),IF($D22="One-off",($F22&gt;=O$5)*($F22&lt;=O$6),0))))))</f>
        <v>0</v>
      </c>
      <c r="P22" s="19">
        <f>IF(OR($E22="",$F22="",$D22=""),0,IF(OR($C22="Loan and finance repayments",$C22="VAT and taxes",$C22="Capital expenditure",$C22="Licences and regulatory fees"),1,1+CostAdj)*$E22*IF($D22="Weekly",(MAX(0,INT((P$6-$F22)/7)+1)-MAX(0,INT((P$5-1-$F22)/7)+1)),IF($D22="Fortnightly",(MAX(0,INT((P$6-$F22)/14)+1)-MAX(0,INT((P$5-1-$F22)/14)+1)),IF($D22="Monthly",((DATE(YEAR(P$5),MONTH(P$5),MIN(DAY($F22),DAY(EOMONTH(P$5,0))))&gt;=MAX(P$5,$F22))*(DATE(YEAR(P$5),MONTH(P$5),MIN(DAY($F22),DAY(EOMONTH(P$5,0))))&lt;=P$6)*(MOD((YEAR(P$5)-YEAR($F22))*12+MONTH(P$5)-MONTH($F22),1)=0)+(MONTH(P$6)&lt;&gt;MONTH(P$5))*(DATE(YEAR(P$6),MONTH(P$6),MIN(DAY($F22),DAY(EOMONTH(P$6,0))))&gt;=$F22)*(DATE(YEAR(P$6),MONTH(P$6),MIN(DAY($F22),DAY(EOMONTH(P$6,0))))&gt;=P$5)*(DATE(YEAR(P$6),MONTH(P$6),MIN(DAY($F22),DAY(EOMONTH(P$6,0))))&lt;=P$6)*(MOD((YEAR(P$6)-YEAR($F22))*12+MONTH(P$6)-MONTH($F22),1)=0)),IF($D22="Quarterly",((DATE(YEAR(P$5),MONTH(P$5),MIN(DAY($F22),DAY(EOMONTH(P$5,0))))&gt;=MAX(P$5,$F22))*(DATE(YEAR(P$5),MONTH(P$5),MIN(DAY($F22),DAY(EOMONTH(P$5,0))))&lt;=P$6)*(MOD((YEAR(P$5)-YEAR($F22))*12+MONTH(P$5)-MONTH($F22),3)=0)+(MONTH(P$6)&lt;&gt;MONTH(P$5))*(DATE(YEAR(P$6),MONTH(P$6),MIN(DAY($F22),DAY(EOMONTH(P$6,0))))&gt;=$F22)*(DATE(YEAR(P$6),MONTH(P$6),MIN(DAY($F22),DAY(EOMONTH(P$6,0))))&gt;=P$5)*(DATE(YEAR(P$6),MONTH(P$6),MIN(DAY($F22),DAY(EOMONTH(P$6,0))))&lt;=P$6)*(MOD((YEAR(P$6)-YEAR($F22))*12+MONTH(P$6)-MONTH($F22),3)=0)),IF($D22="One-off",($F22&gt;=P$5)*($F22&lt;=P$6),0))))))</f>
        <v>0</v>
      </c>
      <c r="Q22" s="19">
        <f>IF(OR($E22="",$F22="",$D22=""),0,IF(OR($C22="Loan and finance repayments",$C22="VAT and taxes",$C22="Capital expenditure",$C22="Licences and regulatory fees"),1,1+CostAdj)*$E22*IF($D22="Weekly",(MAX(0,INT((Q$6-$F22)/7)+1)-MAX(0,INT((Q$5-1-$F22)/7)+1)),IF($D22="Fortnightly",(MAX(0,INT((Q$6-$F22)/14)+1)-MAX(0,INT((Q$5-1-$F22)/14)+1)),IF($D22="Monthly",((DATE(YEAR(Q$5),MONTH(Q$5),MIN(DAY($F22),DAY(EOMONTH(Q$5,0))))&gt;=MAX(Q$5,$F22))*(DATE(YEAR(Q$5),MONTH(Q$5),MIN(DAY($F22),DAY(EOMONTH(Q$5,0))))&lt;=Q$6)*(MOD((YEAR(Q$5)-YEAR($F22))*12+MONTH(Q$5)-MONTH($F22),1)=0)+(MONTH(Q$6)&lt;&gt;MONTH(Q$5))*(DATE(YEAR(Q$6),MONTH(Q$6),MIN(DAY($F22),DAY(EOMONTH(Q$6,0))))&gt;=$F22)*(DATE(YEAR(Q$6),MONTH(Q$6),MIN(DAY($F22),DAY(EOMONTH(Q$6,0))))&gt;=Q$5)*(DATE(YEAR(Q$6),MONTH(Q$6),MIN(DAY($F22),DAY(EOMONTH(Q$6,0))))&lt;=Q$6)*(MOD((YEAR(Q$6)-YEAR($F22))*12+MONTH(Q$6)-MONTH($F22),1)=0)),IF($D22="Quarterly",((DATE(YEAR(Q$5),MONTH(Q$5),MIN(DAY($F22),DAY(EOMONTH(Q$5,0))))&gt;=MAX(Q$5,$F22))*(DATE(YEAR(Q$5),MONTH(Q$5),MIN(DAY($F22),DAY(EOMONTH(Q$5,0))))&lt;=Q$6)*(MOD((YEAR(Q$5)-YEAR($F22))*12+MONTH(Q$5)-MONTH($F22),3)=0)+(MONTH(Q$6)&lt;&gt;MONTH(Q$5))*(DATE(YEAR(Q$6),MONTH(Q$6),MIN(DAY($F22),DAY(EOMONTH(Q$6,0))))&gt;=$F22)*(DATE(YEAR(Q$6),MONTH(Q$6),MIN(DAY($F22),DAY(EOMONTH(Q$6,0))))&gt;=Q$5)*(DATE(YEAR(Q$6),MONTH(Q$6),MIN(DAY($F22),DAY(EOMONTH(Q$6,0))))&lt;=Q$6)*(MOD((YEAR(Q$6)-YEAR($F22))*12+MONTH(Q$6)-MONTH($F22),3)=0)),IF($D22="One-off",($F22&gt;=Q$5)*($F22&lt;=Q$6),0))))))</f>
        <v>0</v>
      </c>
      <c r="R22" s="19">
        <f>IF(OR($E22="",$F22="",$D22=""),0,IF(OR($C22="Loan and finance repayments",$C22="VAT and taxes",$C22="Capital expenditure",$C22="Licences and regulatory fees"),1,1+CostAdj)*$E22*IF($D22="Weekly",(MAX(0,INT((R$6-$F22)/7)+1)-MAX(0,INT((R$5-1-$F22)/7)+1)),IF($D22="Fortnightly",(MAX(0,INT((R$6-$F22)/14)+1)-MAX(0,INT((R$5-1-$F22)/14)+1)),IF($D22="Monthly",((DATE(YEAR(R$5),MONTH(R$5),MIN(DAY($F22),DAY(EOMONTH(R$5,0))))&gt;=MAX(R$5,$F22))*(DATE(YEAR(R$5),MONTH(R$5),MIN(DAY($F22),DAY(EOMONTH(R$5,0))))&lt;=R$6)*(MOD((YEAR(R$5)-YEAR($F22))*12+MONTH(R$5)-MONTH($F22),1)=0)+(MONTH(R$6)&lt;&gt;MONTH(R$5))*(DATE(YEAR(R$6),MONTH(R$6),MIN(DAY($F22),DAY(EOMONTH(R$6,0))))&gt;=$F22)*(DATE(YEAR(R$6),MONTH(R$6),MIN(DAY($F22),DAY(EOMONTH(R$6,0))))&gt;=R$5)*(DATE(YEAR(R$6),MONTH(R$6),MIN(DAY($F22),DAY(EOMONTH(R$6,0))))&lt;=R$6)*(MOD((YEAR(R$6)-YEAR($F22))*12+MONTH(R$6)-MONTH($F22),1)=0)),IF($D22="Quarterly",((DATE(YEAR(R$5),MONTH(R$5),MIN(DAY($F22),DAY(EOMONTH(R$5,0))))&gt;=MAX(R$5,$F22))*(DATE(YEAR(R$5),MONTH(R$5),MIN(DAY($F22),DAY(EOMONTH(R$5,0))))&lt;=R$6)*(MOD((YEAR(R$5)-YEAR($F22))*12+MONTH(R$5)-MONTH($F22),3)=0)+(MONTH(R$6)&lt;&gt;MONTH(R$5))*(DATE(YEAR(R$6),MONTH(R$6),MIN(DAY($F22),DAY(EOMONTH(R$6,0))))&gt;=$F22)*(DATE(YEAR(R$6),MONTH(R$6),MIN(DAY($F22),DAY(EOMONTH(R$6,0))))&gt;=R$5)*(DATE(YEAR(R$6),MONTH(R$6),MIN(DAY($F22),DAY(EOMONTH(R$6,0))))&lt;=R$6)*(MOD((YEAR(R$6)-YEAR($F22))*12+MONTH(R$6)-MONTH($F22),3)=0)),IF($D22="One-off",($F22&gt;=R$5)*($F22&lt;=R$6),0))))))</f>
        <v>0</v>
      </c>
      <c r="S22" s="19">
        <f>IF(OR($E22="",$F22="",$D22=""),0,IF(OR($C22="Loan and finance repayments",$C22="VAT and taxes",$C22="Capital expenditure",$C22="Licences and regulatory fees"),1,1+CostAdj)*$E22*IF($D22="Weekly",(MAX(0,INT((S$6-$F22)/7)+1)-MAX(0,INT((S$5-1-$F22)/7)+1)),IF($D22="Fortnightly",(MAX(0,INT((S$6-$F22)/14)+1)-MAX(0,INT((S$5-1-$F22)/14)+1)),IF($D22="Monthly",((DATE(YEAR(S$5),MONTH(S$5),MIN(DAY($F22),DAY(EOMONTH(S$5,0))))&gt;=MAX(S$5,$F22))*(DATE(YEAR(S$5),MONTH(S$5),MIN(DAY($F22),DAY(EOMONTH(S$5,0))))&lt;=S$6)*(MOD((YEAR(S$5)-YEAR($F22))*12+MONTH(S$5)-MONTH($F22),1)=0)+(MONTH(S$6)&lt;&gt;MONTH(S$5))*(DATE(YEAR(S$6),MONTH(S$6),MIN(DAY($F22),DAY(EOMONTH(S$6,0))))&gt;=$F22)*(DATE(YEAR(S$6),MONTH(S$6),MIN(DAY($F22),DAY(EOMONTH(S$6,0))))&gt;=S$5)*(DATE(YEAR(S$6),MONTH(S$6),MIN(DAY($F22),DAY(EOMONTH(S$6,0))))&lt;=S$6)*(MOD((YEAR(S$6)-YEAR($F22))*12+MONTH(S$6)-MONTH($F22),1)=0)),IF($D22="Quarterly",((DATE(YEAR(S$5),MONTH(S$5),MIN(DAY($F22),DAY(EOMONTH(S$5,0))))&gt;=MAX(S$5,$F22))*(DATE(YEAR(S$5),MONTH(S$5),MIN(DAY($F22),DAY(EOMONTH(S$5,0))))&lt;=S$6)*(MOD((YEAR(S$5)-YEAR($F22))*12+MONTH(S$5)-MONTH($F22),3)=0)+(MONTH(S$6)&lt;&gt;MONTH(S$5))*(DATE(YEAR(S$6),MONTH(S$6),MIN(DAY($F22),DAY(EOMONTH(S$6,0))))&gt;=$F22)*(DATE(YEAR(S$6),MONTH(S$6),MIN(DAY($F22),DAY(EOMONTH(S$6,0))))&gt;=S$5)*(DATE(YEAR(S$6),MONTH(S$6),MIN(DAY($F22),DAY(EOMONTH(S$6,0))))&lt;=S$6)*(MOD((YEAR(S$6)-YEAR($F22))*12+MONTH(S$6)-MONTH($F22),3)=0)),IF($D22="One-off",($F22&gt;=S$5)*($F22&lt;=S$6),0))))))</f>
        <v>0</v>
      </c>
      <c r="T22" s="19">
        <f>IF(OR($E22="",$F22="",$D22=""),0,IF(OR($C22="Loan and finance repayments",$C22="VAT and taxes",$C22="Capital expenditure",$C22="Licences and regulatory fees"),1,1+CostAdj)*$E22*IF($D22="Weekly",(MAX(0,INT((T$6-$F22)/7)+1)-MAX(0,INT((T$5-1-$F22)/7)+1)),IF($D22="Fortnightly",(MAX(0,INT((T$6-$F22)/14)+1)-MAX(0,INT((T$5-1-$F22)/14)+1)),IF($D22="Monthly",((DATE(YEAR(T$5),MONTH(T$5),MIN(DAY($F22),DAY(EOMONTH(T$5,0))))&gt;=MAX(T$5,$F22))*(DATE(YEAR(T$5),MONTH(T$5),MIN(DAY($F22),DAY(EOMONTH(T$5,0))))&lt;=T$6)*(MOD((YEAR(T$5)-YEAR($F22))*12+MONTH(T$5)-MONTH($F22),1)=0)+(MONTH(T$6)&lt;&gt;MONTH(T$5))*(DATE(YEAR(T$6),MONTH(T$6),MIN(DAY($F22),DAY(EOMONTH(T$6,0))))&gt;=$F22)*(DATE(YEAR(T$6),MONTH(T$6),MIN(DAY($F22),DAY(EOMONTH(T$6,0))))&gt;=T$5)*(DATE(YEAR(T$6),MONTH(T$6),MIN(DAY($F22),DAY(EOMONTH(T$6,0))))&lt;=T$6)*(MOD((YEAR(T$6)-YEAR($F22))*12+MONTH(T$6)-MONTH($F22),1)=0)),IF($D22="Quarterly",((DATE(YEAR(T$5),MONTH(T$5),MIN(DAY($F22),DAY(EOMONTH(T$5,0))))&gt;=MAX(T$5,$F22))*(DATE(YEAR(T$5),MONTH(T$5),MIN(DAY($F22),DAY(EOMONTH(T$5,0))))&lt;=T$6)*(MOD((YEAR(T$5)-YEAR($F22))*12+MONTH(T$5)-MONTH($F22),3)=0)+(MONTH(T$6)&lt;&gt;MONTH(T$5))*(DATE(YEAR(T$6),MONTH(T$6),MIN(DAY($F22),DAY(EOMONTH(T$6,0))))&gt;=$F22)*(DATE(YEAR(T$6),MONTH(T$6),MIN(DAY($F22),DAY(EOMONTH(T$6,0))))&gt;=T$5)*(DATE(YEAR(T$6),MONTH(T$6),MIN(DAY($F22),DAY(EOMONTH(T$6,0))))&lt;=T$6)*(MOD((YEAR(T$6)-YEAR($F22))*12+MONTH(T$6)-MONTH($F22),3)=0)),IF($D22="One-off",($F22&gt;=T$5)*($F22&lt;=T$6),0))))))</f>
        <v>0</v>
      </c>
      <c r="U22" s="36">
        <f>SUM(H22:T22)</f>
        <v>95000</v>
      </c>
    </row>
    <row r="23" spans="1:21">
      <c r="A23" s="42">
        <v>15</v>
      </c>
      <c r="B23" s="7" t="s">
        <v>147</v>
      </c>
      <c r="C23" s="7" t="s">
        <v>11</v>
      </c>
      <c r="D23" s="7" t="s">
        <v>17</v>
      </c>
      <c r="E23" s="18">
        <v>120000</v>
      </c>
      <c r="F23" s="17">
        <v>46346</v>
      </c>
      <c r="G23" s="7" t="s">
        <v>148</v>
      </c>
      <c r="H23" s="19">
        <f>IF(OR($E23="",$F23="",$D23=""),0,IF(OR($C23="Loan and finance repayments",$C23="VAT and taxes",$C23="Capital expenditure",$C23="Licences and regulatory fees"),1,1+CostAdj)*$E23*IF($D23="Weekly",(MAX(0,INT((H$6-$F23)/7)+1)-MAX(0,INT((H$5-1-$F23)/7)+1)),IF($D23="Fortnightly",(MAX(0,INT((H$6-$F23)/14)+1)-MAX(0,INT((H$5-1-$F23)/14)+1)),IF($D23="Monthly",((DATE(YEAR(H$5),MONTH(H$5),MIN(DAY($F23),DAY(EOMONTH(H$5,0))))&gt;=MAX(H$5,$F23))*(DATE(YEAR(H$5),MONTH(H$5),MIN(DAY($F23),DAY(EOMONTH(H$5,0))))&lt;=H$6)*(MOD((YEAR(H$5)-YEAR($F23))*12+MONTH(H$5)-MONTH($F23),1)=0)+(MONTH(H$6)&lt;&gt;MONTH(H$5))*(DATE(YEAR(H$6),MONTH(H$6),MIN(DAY($F23),DAY(EOMONTH(H$6,0))))&gt;=$F23)*(DATE(YEAR(H$6),MONTH(H$6),MIN(DAY($F23),DAY(EOMONTH(H$6,0))))&gt;=H$5)*(DATE(YEAR(H$6),MONTH(H$6),MIN(DAY($F23),DAY(EOMONTH(H$6,0))))&lt;=H$6)*(MOD((YEAR(H$6)-YEAR($F23))*12+MONTH(H$6)-MONTH($F23),1)=0)),IF($D23="Quarterly",((DATE(YEAR(H$5),MONTH(H$5),MIN(DAY($F23),DAY(EOMONTH(H$5,0))))&gt;=MAX(H$5,$F23))*(DATE(YEAR(H$5),MONTH(H$5),MIN(DAY($F23),DAY(EOMONTH(H$5,0))))&lt;=H$6)*(MOD((YEAR(H$5)-YEAR($F23))*12+MONTH(H$5)-MONTH($F23),3)=0)+(MONTH(H$6)&lt;&gt;MONTH(H$5))*(DATE(YEAR(H$6),MONTH(H$6),MIN(DAY($F23),DAY(EOMONTH(H$6,0))))&gt;=$F23)*(DATE(YEAR(H$6),MONTH(H$6),MIN(DAY($F23),DAY(EOMONTH(H$6,0))))&gt;=H$5)*(DATE(YEAR(H$6),MONTH(H$6),MIN(DAY($F23),DAY(EOMONTH(H$6,0))))&lt;=H$6)*(MOD((YEAR(H$6)-YEAR($F23))*12+MONTH(H$6)-MONTH($F23),3)=0)),IF($D23="One-off",($F23&gt;=H$5)*($F23&lt;=H$6),0))))))</f>
        <v>0</v>
      </c>
      <c r="I23" s="19">
        <f>IF(OR($E23="",$F23="",$D23=""),0,IF(OR($C23="Loan and finance repayments",$C23="VAT and taxes",$C23="Capital expenditure",$C23="Licences and regulatory fees"),1,1+CostAdj)*$E23*IF($D23="Weekly",(MAX(0,INT((I$6-$F23)/7)+1)-MAX(0,INT((I$5-1-$F23)/7)+1)),IF($D23="Fortnightly",(MAX(0,INT((I$6-$F23)/14)+1)-MAX(0,INT((I$5-1-$F23)/14)+1)),IF($D23="Monthly",((DATE(YEAR(I$5),MONTH(I$5),MIN(DAY($F23),DAY(EOMONTH(I$5,0))))&gt;=MAX(I$5,$F23))*(DATE(YEAR(I$5),MONTH(I$5),MIN(DAY($F23),DAY(EOMONTH(I$5,0))))&lt;=I$6)*(MOD((YEAR(I$5)-YEAR($F23))*12+MONTH(I$5)-MONTH($F23),1)=0)+(MONTH(I$6)&lt;&gt;MONTH(I$5))*(DATE(YEAR(I$6),MONTH(I$6),MIN(DAY($F23),DAY(EOMONTH(I$6,0))))&gt;=$F23)*(DATE(YEAR(I$6),MONTH(I$6),MIN(DAY($F23),DAY(EOMONTH(I$6,0))))&gt;=I$5)*(DATE(YEAR(I$6),MONTH(I$6),MIN(DAY($F23),DAY(EOMONTH(I$6,0))))&lt;=I$6)*(MOD((YEAR(I$6)-YEAR($F23))*12+MONTH(I$6)-MONTH($F23),1)=0)),IF($D23="Quarterly",((DATE(YEAR(I$5),MONTH(I$5),MIN(DAY($F23),DAY(EOMONTH(I$5,0))))&gt;=MAX(I$5,$F23))*(DATE(YEAR(I$5),MONTH(I$5),MIN(DAY($F23),DAY(EOMONTH(I$5,0))))&lt;=I$6)*(MOD((YEAR(I$5)-YEAR($F23))*12+MONTH(I$5)-MONTH($F23),3)=0)+(MONTH(I$6)&lt;&gt;MONTH(I$5))*(DATE(YEAR(I$6),MONTH(I$6),MIN(DAY($F23),DAY(EOMONTH(I$6,0))))&gt;=$F23)*(DATE(YEAR(I$6),MONTH(I$6),MIN(DAY($F23),DAY(EOMONTH(I$6,0))))&gt;=I$5)*(DATE(YEAR(I$6),MONTH(I$6),MIN(DAY($F23),DAY(EOMONTH(I$6,0))))&lt;=I$6)*(MOD((YEAR(I$6)-YEAR($F23))*12+MONTH(I$6)-MONTH($F23),3)=0)),IF($D23="One-off",($F23&gt;=I$5)*($F23&lt;=I$6),0))))))</f>
        <v>0</v>
      </c>
      <c r="J23" s="19">
        <f>IF(OR($E23="",$F23="",$D23=""),0,IF(OR($C23="Loan and finance repayments",$C23="VAT and taxes",$C23="Capital expenditure",$C23="Licences and regulatory fees"),1,1+CostAdj)*$E23*IF($D23="Weekly",(MAX(0,INT((J$6-$F23)/7)+1)-MAX(0,INT((J$5-1-$F23)/7)+1)),IF($D23="Fortnightly",(MAX(0,INT((J$6-$F23)/14)+1)-MAX(0,INT((J$5-1-$F23)/14)+1)),IF($D23="Monthly",((DATE(YEAR(J$5),MONTH(J$5),MIN(DAY($F23),DAY(EOMONTH(J$5,0))))&gt;=MAX(J$5,$F23))*(DATE(YEAR(J$5),MONTH(J$5),MIN(DAY($F23),DAY(EOMONTH(J$5,0))))&lt;=J$6)*(MOD((YEAR(J$5)-YEAR($F23))*12+MONTH(J$5)-MONTH($F23),1)=0)+(MONTH(J$6)&lt;&gt;MONTH(J$5))*(DATE(YEAR(J$6),MONTH(J$6),MIN(DAY($F23),DAY(EOMONTH(J$6,0))))&gt;=$F23)*(DATE(YEAR(J$6),MONTH(J$6),MIN(DAY($F23),DAY(EOMONTH(J$6,0))))&gt;=J$5)*(DATE(YEAR(J$6),MONTH(J$6),MIN(DAY($F23),DAY(EOMONTH(J$6,0))))&lt;=J$6)*(MOD((YEAR(J$6)-YEAR($F23))*12+MONTH(J$6)-MONTH($F23),1)=0)),IF($D23="Quarterly",((DATE(YEAR(J$5),MONTH(J$5),MIN(DAY($F23),DAY(EOMONTH(J$5,0))))&gt;=MAX(J$5,$F23))*(DATE(YEAR(J$5),MONTH(J$5),MIN(DAY($F23),DAY(EOMONTH(J$5,0))))&lt;=J$6)*(MOD((YEAR(J$5)-YEAR($F23))*12+MONTH(J$5)-MONTH($F23),3)=0)+(MONTH(J$6)&lt;&gt;MONTH(J$5))*(DATE(YEAR(J$6),MONTH(J$6),MIN(DAY($F23),DAY(EOMONTH(J$6,0))))&gt;=$F23)*(DATE(YEAR(J$6),MONTH(J$6),MIN(DAY($F23),DAY(EOMONTH(J$6,0))))&gt;=J$5)*(DATE(YEAR(J$6),MONTH(J$6),MIN(DAY($F23),DAY(EOMONTH(J$6,0))))&lt;=J$6)*(MOD((YEAR(J$6)-YEAR($F23))*12+MONTH(J$6)-MONTH($F23),3)=0)),IF($D23="One-off",($F23&gt;=J$5)*($F23&lt;=J$6),0))))))</f>
        <v>0</v>
      </c>
      <c r="K23" s="19">
        <f>IF(OR($E23="",$F23="",$D23=""),0,IF(OR($C23="Loan and finance repayments",$C23="VAT and taxes",$C23="Capital expenditure",$C23="Licences and regulatory fees"),1,1+CostAdj)*$E23*IF($D23="Weekly",(MAX(0,INT((K$6-$F23)/7)+1)-MAX(0,INT((K$5-1-$F23)/7)+1)),IF($D23="Fortnightly",(MAX(0,INT((K$6-$F23)/14)+1)-MAX(0,INT((K$5-1-$F23)/14)+1)),IF($D23="Monthly",((DATE(YEAR(K$5),MONTH(K$5),MIN(DAY($F23),DAY(EOMONTH(K$5,0))))&gt;=MAX(K$5,$F23))*(DATE(YEAR(K$5),MONTH(K$5),MIN(DAY($F23),DAY(EOMONTH(K$5,0))))&lt;=K$6)*(MOD((YEAR(K$5)-YEAR($F23))*12+MONTH(K$5)-MONTH($F23),1)=0)+(MONTH(K$6)&lt;&gt;MONTH(K$5))*(DATE(YEAR(K$6),MONTH(K$6),MIN(DAY($F23),DAY(EOMONTH(K$6,0))))&gt;=$F23)*(DATE(YEAR(K$6),MONTH(K$6),MIN(DAY($F23),DAY(EOMONTH(K$6,0))))&gt;=K$5)*(DATE(YEAR(K$6),MONTH(K$6),MIN(DAY($F23),DAY(EOMONTH(K$6,0))))&lt;=K$6)*(MOD((YEAR(K$6)-YEAR($F23))*12+MONTH(K$6)-MONTH($F23),1)=0)),IF($D23="Quarterly",((DATE(YEAR(K$5),MONTH(K$5),MIN(DAY($F23),DAY(EOMONTH(K$5,0))))&gt;=MAX(K$5,$F23))*(DATE(YEAR(K$5),MONTH(K$5),MIN(DAY($F23),DAY(EOMONTH(K$5,0))))&lt;=K$6)*(MOD((YEAR(K$5)-YEAR($F23))*12+MONTH(K$5)-MONTH($F23),3)=0)+(MONTH(K$6)&lt;&gt;MONTH(K$5))*(DATE(YEAR(K$6),MONTH(K$6),MIN(DAY($F23),DAY(EOMONTH(K$6,0))))&gt;=$F23)*(DATE(YEAR(K$6),MONTH(K$6),MIN(DAY($F23),DAY(EOMONTH(K$6,0))))&gt;=K$5)*(DATE(YEAR(K$6),MONTH(K$6),MIN(DAY($F23),DAY(EOMONTH(K$6,0))))&lt;=K$6)*(MOD((YEAR(K$6)-YEAR($F23))*12+MONTH(K$6)-MONTH($F23),3)=0)),IF($D23="One-off",($F23&gt;=K$5)*($F23&lt;=K$6),0))))))</f>
        <v>0</v>
      </c>
      <c r="L23" s="19">
        <f>IF(OR($E23="",$F23="",$D23=""),0,IF(OR($C23="Loan and finance repayments",$C23="VAT and taxes",$C23="Capital expenditure",$C23="Licences and regulatory fees"),1,1+CostAdj)*$E23*IF($D23="Weekly",(MAX(0,INT((L$6-$F23)/7)+1)-MAX(0,INT((L$5-1-$F23)/7)+1)),IF($D23="Fortnightly",(MAX(0,INT((L$6-$F23)/14)+1)-MAX(0,INT((L$5-1-$F23)/14)+1)),IF($D23="Monthly",((DATE(YEAR(L$5),MONTH(L$5),MIN(DAY($F23),DAY(EOMONTH(L$5,0))))&gt;=MAX(L$5,$F23))*(DATE(YEAR(L$5),MONTH(L$5),MIN(DAY($F23),DAY(EOMONTH(L$5,0))))&lt;=L$6)*(MOD((YEAR(L$5)-YEAR($F23))*12+MONTH(L$5)-MONTH($F23),1)=0)+(MONTH(L$6)&lt;&gt;MONTH(L$5))*(DATE(YEAR(L$6),MONTH(L$6),MIN(DAY($F23),DAY(EOMONTH(L$6,0))))&gt;=$F23)*(DATE(YEAR(L$6),MONTH(L$6),MIN(DAY($F23),DAY(EOMONTH(L$6,0))))&gt;=L$5)*(DATE(YEAR(L$6),MONTH(L$6),MIN(DAY($F23),DAY(EOMONTH(L$6,0))))&lt;=L$6)*(MOD((YEAR(L$6)-YEAR($F23))*12+MONTH(L$6)-MONTH($F23),1)=0)),IF($D23="Quarterly",((DATE(YEAR(L$5),MONTH(L$5),MIN(DAY($F23),DAY(EOMONTH(L$5,0))))&gt;=MAX(L$5,$F23))*(DATE(YEAR(L$5),MONTH(L$5),MIN(DAY($F23),DAY(EOMONTH(L$5,0))))&lt;=L$6)*(MOD((YEAR(L$5)-YEAR($F23))*12+MONTH(L$5)-MONTH($F23),3)=0)+(MONTH(L$6)&lt;&gt;MONTH(L$5))*(DATE(YEAR(L$6),MONTH(L$6),MIN(DAY($F23),DAY(EOMONTH(L$6,0))))&gt;=$F23)*(DATE(YEAR(L$6),MONTH(L$6),MIN(DAY($F23),DAY(EOMONTH(L$6,0))))&gt;=L$5)*(DATE(YEAR(L$6),MONTH(L$6),MIN(DAY($F23),DAY(EOMONTH(L$6,0))))&lt;=L$6)*(MOD((YEAR(L$6)-YEAR($F23))*12+MONTH(L$6)-MONTH($F23),3)=0)),IF($D23="One-off",($F23&gt;=L$5)*($F23&lt;=L$6),0))))))</f>
        <v>0</v>
      </c>
      <c r="M23" s="19">
        <f>IF(OR($E23="",$F23="",$D23=""),0,IF(OR($C23="Loan and finance repayments",$C23="VAT and taxes",$C23="Capital expenditure",$C23="Licences and regulatory fees"),1,1+CostAdj)*$E23*IF($D23="Weekly",(MAX(0,INT((M$6-$F23)/7)+1)-MAX(0,INT((M$5-1-$F23)/7)+1)),IF($D23="Fortnightly",(MAX(0,INT((M$6-$F23)/14)+1)-MAX(0,INT((M$5-1-$F23)/14)+1)),IF($D23="Monthly",((DATE(YEAR(M$5),MONTH(M$5),MIN(DAY($F23),DAY(EOMONTH(M$5,0))))&gt;=MAX(M$5,$F23))*(DATE(YEAR(M$5),MONTH(M$5),MIN(DAY($F23),DAY(EOMONTH(M$5,0))))&lt;=M$6)*(MOD((YEAR(M$5)-YEAR($F23))*12+MONTH(M$5)-MONTH($F23),1)=0)+(MONTH(M$6)&lt;&gt;MONTH(M$5))*(DATE(YEAR(M$6),MONTH(M$6),MIN(DAY($F23),DAY(EOMONTH(M$6,0))))&gt;=$F23)*(DATE(YEAR(M$6),MONTH(M$6),MIN(DAY($F23),DAY(EOMONTH(M$6,0))))&gt;=M$5)*(DATE(YEAR(M$6),MONTH(M$6),MIN(DAY($F23),DAY(EOMONTH(M$6,0))))&lt;=M$6)*(MOD((YEAR(M$6)-YEAR($F23))*12+MONTH(M$6)-MONTH($F23),1)=0)),IF($D23="Quarterly",((DATE(YEAR(M$5),MONTH(M$5),MIN(DAY($F23),DAY(EOMONTH(M$5,0))))&gt;=MAX(M$5,$F23))*(DATE(YEAR(M$5),MONTH(M$5),MIN(DAY($F23),DAY(EOMONTH(M$5,0))))&lt;=M$6)*(MOD((YEAR(M$5)-YEAR($F23))*12+MONTH(M$5)-MONTH($F23),3)=0)+(MONTH(M$6)&lt;&gt;MONTH(M$5))*(DATE(YEAR(M$6),MONTH(M$6),MIN(DAY($F23),DAY(EOMONTH(M$6,0))))&gt;=$F23)*(DATE(YEAR(M$6),MONTH(M$6),MIN(DAY($F23),DAY(EOMONTH(M$6,0))))&gt;=M$5)*(DATE(YEAR(M$6),MONTH(M$6),MIN(DAY($F23),DAY(EOMONTH(M$6,0))))&lt;=M$6)*(MOD((YEAR(M$6)-YEAR($F23))*12+MONTH(M$6)-MONTH($F23),3)=0)),IF($D23="One-off",($F23&gt;=M$5)*($F23&lt;=M$6),0))))))</f>
        <v>0</v>
      </c>
      <c r="N23" s="19">
        <f>IF(OR($E23="",$F23="",$D23=""),0,IF(OR($C23="Loan and finance repayments",$C23="VAT and taxes",$C23="Capital expenditure",$C23="Licences and regulatory fees"),1,1+CostAdj)*$E23*IF($D23="Weekly",(MAX(0,INT((N$6-$F23)/7)+1)-MAX(0,INT((N$5-1-$F23)/7)+1)),IF($D23="Fortnightly",(MAX(0,INT((N$6-$F23)/14)+1)-MAX(0,INT((N$5-1-$F23)/14)+1)),IF($D23="Monthly",((DATE(YEAR(N$5),MONTH(N$5),MIN(DAY($F23),DAY(EOMONTH(N$5,0))))&gt;=MAX(N$5,$F23))*(DATE(YEAR(N$5),MONTH(N$5),MIN(DAY($F23),DAY(EOMONTH(N$5,0))))&lt;=N$6)*(MOD((YEAR(N$5)-YEAR($F23))*12+MONTH(N$5)-MONTH($F23),1)=0)+(MONTH(N$6)&lt;&gt;MONTH(N$5))*(DATE(YEAR(N$6),MONTH(N$6),MIN(DAY($F23),DAY(EOMONTH(N$6,0))))&gt;=$F23)*(DATE(YEAR(N$6),MONTH(N$6),MIN(DAY($F23),DAY(EOMONTH(N$6,0))))&gt;=N$5)*(DATE(YEAR(N$6),MONTH(N$6),MIN(DAY($F23),DAY(EOMONTH(N$6,0))))&lt;=N$6)*(MOD((YEAR(N$6)-YEAR($F23))*12+MONTH(N$6)-MONTH($F23),1)=0)),IF($D23="Quarterly",((DATE(YEAR(N$5),MONTH(N$5),MIN(DAY($F23),DAY(EOMONTH(N$5,0))))&gt;=MAX(N$5,$F23))*(DATE(YEAR(N$5),MONTH(N$5),MIN(DAY($F23),DAY(EOMONTH(N$5,0))))&lt;=N$6)*(MOD((YEAR(N$5)-YEAR($F23))*12+MONTH(N$5)-MONTH($F23),3)=0)+(MONTH(N$6)&lt;&gt;MONTH(N$5))*(DATE(YEAR(N$6),MONTH(N$6),MIN(DAY($F23),DAY(EOMONTH(N$6,0))))&gt;=$F23)*(DATE(YEAR(N$6),MONTH(N$6),MIN(DAY($F23),DAY(EOMONTH(N$6,0))))&gt;=N$5)*(DATE(YEAR(N$6),MONTH(N$6),MIN(DAY($F23),DAY(EOMONTH(N$6,0))))&lt;=N$6)*(MOD((YEAR(N$6)-YEAR($F23))*12+MONTH(N$6)-MONTH($F23),3)=0)),IF($D23="One-off",($F23&gt;=N$5)*($F23&lt;=N$6),0))))))</f>
        <v>120000</v>
      </c>
      <c r="O23" s="19">
        <f>IF(OR($E23="",$F23="",$D23=""),0,IF(OR($C23="Loan and finance repayments",$C23="VAT and taxes",$C23="Capital expenditure",$C23="Licences and regulatory fees"),1,1+CostAdj)*$E23*IF($D23="Weekly",(MAX(0,INT((O$6-$F23)/7)+1)-MAX(0,INT((O$5-1-$F23)/7)+1)),IF($D23="Fortnightly",(MAX(0,INT((O$6-$F23)/14)+1)-MAX(0,INT((O$5-1-$F23)/14)+1)),IF($D23="Monthly",((DATE(YEAR(O$5),MONTH(O$5),MIN(DAY($F23),DAY(EOMONTH(O$5,0))))&gt;=MAX(O$5,$F23))*(DATE(YEAR(O$5),MONTH(O$5),MIN(DAY($F23),DAY(EOMONTH(O$5,0))))&lt;=O$6)*(MOD((YEAR(O$5)-YEAR($F23))*12+MONTH(O$5)-MONTH($F23),1)=0)+(MONTH(O$6)&lt;&gt;MONTH(O$5))*(DATE(YEAR(O$6),MONTH(O$6),MIN(DAY($F23),DAY(EOMONTH(O$6,0))))&gt;=$F23)*(DATE(YEAR(O$6),MONTH(O$6),MIN(DAY($F23),DAY(EOMONTH(O$6,0))))&gt;=O$5)*(DATE(YEAR(O$6),MONTH(O$6),MIN(DAY($F23),DAY(EOMONTH(O$6,0))))&lt;=O$6)*(MOD((YEAR(O$6)-YEAR($F23))*12+MONTH(O$6)-MONTH($F23),1)=0)),IF($D23="Quarterly",((DATE(YEAR(O$5),MONTH(O$5),MIN(DAY($F23),DAY(EOMONTH(O$5,0))))&gt;=MAX(O$5,$F23))*(DATE(YEAR(O$5),MONTH(O$5),MIN(DAY($F23),DAY(EOMONTH(O$5,0))))&lt;=O$6)*(MOD((YEAR(O$5)-YEAR($F23))*12+MONTH(O$5)-MONTH($F23),3)=0)+(MONTH(O$6)&lt;&gt;MONTH(O$5))*(DATE(YEAR(O$6),MONTH(O$6),MIN(DAY($F23),DAY(EOMONTH(O$6,0))))&gt;=$F23)*(DATE(YEAR(O$6),MONTH(O$6),MIN(DAY($F23),DAY(EOMONTH(O$6,0))))&gt;=O$5)*(DATE(YEAR(O$6),MONTH(O$6),MIN(DAY($F23),DAY(EOMONTH(O$6,0))))&lt;=O$6)*(MOD((YEAR(O$6)-YEAR($F23))*12+MONTH(O$6)-MONTH($F23),3)=0)),IF($D23="One-off",($F23&gt;=O$5)*($F23&lt;=O$6),0))))))</f>
        <v>0</v>
      </c>
      <c r="P23" s="19">
        <f>IF(OR($E23="",$F23="",$D23=""),0,IF(OR($C23="Loan and finance repayments",$C23="VAT and taxes",$C23="Capital expenditure",$C23="Licences and regulatory fees"),1,1+CostAdj)*$E23*IF($D23="Weekly",(MAX(0,INT((P$6-$F23)/7)+1)-MAX(0,INT((P$5-1-$F23)/7)+1)),IF($D23="Fortnightly",(MAX(0,INT((P$6-$F23)/14)+1)-MAX(0,INT((P$5-1-$F23)/14)+1)),IF($D23="Monthly",((DATE(YEAR(P$5),MONTH(P$5),MIN(DAY($F23),DAY(EOMONTH(P$5,0))))&gt;=MAX(P$5,$F23))*(DATE(YEAR(P$5),MONTH(P$5),MIN(DAY($F23),DAY(EOMONTH(P$5,0))))&lt;=P$6)*(MOD((YEAR(P$5)-YEAR($F23))*12+MONTH(P$5)-MONTH($F23),1)=0)+(MONTH(P$6)&lt;&gt;MONTH(P$5))*(DATE(YEAR(P$6),MONTH(P$6),MIN(DAY($F23),DAY(EOMONTH(P$6,0))))&gt;=$F23)*(DATE(YEAR(P$6),MONTH(P$6),MIN(DAY($F23),DAY(EOMONTH(P$6,0))))&gt;=P$5)*(DATE(YEAR(P$6),MONTH(P$6),MIN(DAY($F23),DAY(EOMONTH(P$6,0))))&lt;=P$6)*(MOD((YEAR(P$6)-YEAR($F23))*12+MONTH(P$6)-MONTH($F23),1)=0)),IF($D23="Quarterly",((DATE(YEAR(P$5),MONTH(P$5),MIN(DAY($F23),DAY(EOMONTH(P$5,0))))&gt;=MAX(P$5,$F23))*(DATE(YEAR(P$5),MONTH(P$5),MIN(DAY($F23),DAY(EOMONTH(P$5,0))))&lt;=P$6)*(MOD((YEAR(P$5)-YEAR($F23))*12+MONTH(P$5)-MONTH($F23),3)=0)+(MONTH(P$6)&lt;&gt;MONTH(P$5))*(DATE(YEAR(P$6),MONTH(P$6),MIN(DAY($F23),DAY(EOMONTH(P$6,0))))&gt;=$F23)*(DATE(YEAR(P$6),MONTH(P$6),MIN(DAY($F23),DAY(EOMONTH(P$6,0))))&gt;=P$5)*(DATE(YEAR(P$6),MONTH(P$6),MIN(DAY($F23),DAY(EOMONTH(P$6,0))))&lt;=P$6)*(MOD((YEAR(P$6)-YEAR($F23))*12+MONTH(P$6)-MONTH($F23),3)=0)),IF($D23="One-off",($F23&gt;=P$5)*($F23&lt;=P$6),0))))))</f>
        <v>0</v>
      </c>
      <c r="Q23" s="19">
        <f>IF(OR($E23="",$F23="",$D23=""),0,IF(OR($C23="Loan and finance repayments",$C23="VAT and taxes",$C23="Capital expenditure",$C23="Licences and regulatory fees"),1,1+CostAdj)*$E23*IF($D23="Weekly",(MAX(0,INT((Q$6-$F23)/7)+1)-MAX(0,INT((Q$5-1-$F23)/7)+1)),IF($D23="Fortnightly",(MAX(0,INT((Q$6-$F23)/14)+1)-MAX(0,INT((Q$5-1-$F23)/14)+1)),IF($D23="Monthly",((DATE(YEAR(Q$5),MONTH(Q$5),MIN(DAY($F23),DAY(EOMONTH(Q$5,0))))&gt;=MAX(Q$5,$F23))*(DATE(YEAR(Q$5),MONTH(Q$5),MIN(DAY($F23),DAY(EOMONTH(Q$5,0))))&lt;=Q$6)*(MOD((YEAR(Q$5)-YEAR($F23))*12+MONTH(Q$5)-MONTH($F23),1)=0)+(MONTH(Q$6)&lt;&gt;MONTH(Q$5))*(DATE(YEAR(Q$6),MONTH(Q$6),MIN(DAY($F23),DAY(EOMONTH(Q$6,0))))&gt;=$F23)*(DATE(YEAR(Q$6),MONTH(Q$6),MIN(DAY($F23),DAY(EOMONTH(Q$6,0))))&gt;=Q$5)*(DATE(YEAR(Q$6),MONTH(Q$6),MIN(DAY($F23),DAY(EOMONTH(Q$6,0))))&lt;=Q$6)*(MOD((YEAR(Q$6)-YEAR($F23))*12+MONTH(Q$6)-MONTH($F23),1)=0)),IF($D23="Quarterly",((DATE(YEAR(Q$5),MONTH(Q$5),MIN(DAY($F23),DAY(EOMONTH(Q$5,0))))&gt;=MAX(Q$5,$F23))*(DATE(YEAR(Q$5),MONTH(Q$5),MIN(DAY($F23),DAY(EOMONTH(Q$5,0))))&lt;=Q$6)*(MOD((YEAR(Q$5)-YEAR($F23))*12+MONTH(Q$5)-MONTH($F23),3)=0)+(MONTH(Q$6)&lt;&gt;MONTH(Q$5))*(DATE(YEAR(Q$6),MONTH(Q$6),MIN(DAY($F23),DAY(EOMONTH(Q$6,0))))&gt;=$F23)*(DATE(YEAR(Q$6),MONTH(Q$6),MIN(DAY($F23),DAY(EOMONTH(Q$6,0))))&gt;=Q$5)*(DATE(YEAR(Q$6),MONTH(Q$6),MIN(DAY($F23),DAY(EOMONTH(Q$6,0))))&lt;=Q$6)*(MOD((YEAR(Q$6)-YEAR($F23))*12+MONTH(Q$6)-MONTH($F23),3)=0)),IF($D23="One-off",($F23&gt;=Q$5)*($F23&lt;=Q$6),0))))))</f>
        <v>0</v>
      </c>
      <c r="R23" s="19">
        <f>IF(OR($E23="",$F23="",$D23=""),0,IF(OR($C23="Loan and finance repayments",$C23="VAT and taxes",$C23="Capital expenditure",$C23="Licences and regulatory fees"),1,1+CostAdj)*$E23*IF($D23="Weekly",(MAX(0,INT((R$6-$F23)/7)+1)-MAX(0,INT((R$5-1-$F23)/7)+1)),IF($D23="Fortnightly",(MAX(0,INT((R$6-$F23)/14)+1)-MAX(0,INT((R$5-1-$F23)/14)+1)),IF($D23="Monthly",((DATE(YEAR(R$5),MONTH(R$5),MIN(DAY($F23),DAY(EOMONTH(R$5,0))))&gt;=MAX(R$5,$F23))*(DATE(YEAR(R$5),MONTH(R$5),MIN(DAY($F23),DAY(EOMONTH(R$5,0))))&lt;=R$6)*(MOD((YEAR(R$5)-YEAR($F23))*12+MONTH(R$5)-MONTH($F23),1)=0)+(MONTH(R$6)&lt;&gt;MONTH(R$5))*(DATE(YEAR(R$6),MONTH(R$6),MIN(DAY($F23),DAY(EOMONTH(R$6,0))))&gt;=$F23)*(DATE(YEAR(R$6),MONTH(R$6),MIN(DAY($F23),DAY(EOMONTH(R$6,0))))&gt;=R$5)*(DATE(YEAR(R$6),MONTH(R$6),MIN(DAY($F23),DAY(EOMONTH(R$6,0))))&lt;=R$6)*(MOD((YEAR(R$6)-YEAR($F23))*12+MONTH(R$6)-MONTH($F23),1)=0)),IF($D23="Quarterly",((DATE(YEAR(R$5),MONTH(R$5),MIN(DAY($F23),DAY(EOMONTH(R$5,0))))&gt;=MAX(R$5,$F23))*(DATE(YEAR(R$5),MONTH(R$5),MIN(DAY($F23),DAY(EOMONTH(R$5,0))))&lt;=R$6)*(MOD((YEAR(R$5)-YEAR($F23))*12+MONTH(R$5)-MONTH($F23),3)=0)+(MONTH(R$6)&lt;&gt;MONTH(R$5))*(DATE(YEAR(R$6),MONTH(R$6),MIN(DAY($F23),DAY(EOMONTH(R$6,0))))&gt;=$F23)*(DATE(YEAR(R$6),MONTH(R$6),MIN(DAY($F23),DAY(EOMONTH(R$6,0))))&gt;=R$5)*(DATE(YEAR(R$6),MONTH(R$6),MIN(DAY($F23),DAY(EOMONTH(R$6,0))))&lt;=R$6)*(MOD((YEAR(R$6)-YEAR($F23))*12+MONTH(R$6)-MONTH($F23),3)=0)),IF($D23="One-off",($F23&gt;=R$5)*($F23&lt;=R$6),0))))))</f>
        <v>0</v>
      </c>
      <c r="S23" s="19">
        <f>IF(OR($E23="",$F23="",$D23=""),0,IF(OR($C23="Loan and finance repayments",$C23="VAT and taxes",$C23="Capital expenditure",$C23="Licences and regulatory fees"),1,1+CostAdj)*$E23*IF($D23="Weekly",(MAX(0,INT((S$6-$F23)/7)+1)-MAX(0,INT((S$5-1-$F23)/7)+1)),IF($D23="Fortnightly",(MAX(0,INT((S$6-$F23)/14)+1)-MAX(0,INT((S$5-1-$F23)/14)+1)),IF($D23="Monthly",((DATE(YEAR(S$5),MONTH(S$5),MIN(DAY($F23),DAY(EOMONTH(S$5,0))))&gt;=MAX(S$5,$F23))*(DATE(YEAR(S$5),MONTH(S$5),MIN(DAY($F23),DAY(EOMONTH(S$5,0))))&lt;=S$6)*(MOD((YEAR(S$5)-YEAR($F23))*12+MONTH(S$5)-MONTH($F23),1)=0)+(MONTH(S$6)&lt;&gt;MONTH(S$5))*(DATE(YEAR(S$6),MONTH(S$6),MIN(DAY($F23),DAY(EOMONTH(S$6,0))))&gt;=$F23)*(DATE(YEAR(S$6),MONTH(S$6),MIN(DAY($F23),DAY(EOMONTH(S$6,0))))&gt;=S$5)*(DATE(YEAR(S$6),MONTH(S$6),MIN(DAY($F23),DAY(EOMONTH(S$6,0))))&lt;=S$6)*(MOD((YEAR(S$6)-YEAR($F23))*12+MONTH(S$6)-MONTH($F23),1)=0)),IF($D23="Quarterly",((DATE(YEAR(S$5),MONTH(S$5),MIN(DAY($F23),DAY(EOMONTH(S$5,0))))&gt;=MAX(S$5,$F23))*(DATE(YEAR(S$5),MONTH(S$5),MIN(DAY($F23),DAY(EOMONTH(S$5,0))))&lt;=S$6)*(MOD((YEAR(S$5)-YEAR($F23))*12+MONTH(S$5)-MONTH($F23),3)=0)+(MONTH(S$6)&lt;&gt;MONTH(S$5))*(DATE(YEAR(S$6),MONTH(S$6),MIN(DAY($F23),DAY(EOMONTH(S$6,0))))&gt;=$F23)*(DATE(YEAR(S$6),MONTH(S$6),MIN(DAY($F23),DAY(EOMONTH(S$6,0))))&gt;=S$5)*(DATE(YEAR(S$6),MONTH(S$6),MIN(DAY($F23),DAY(EOMONTH(S$6,0))))&lt;=S$6)*(MOD((YEAR(S$6)-YEAR($F23))*12+MONTH(S$6)-MONTH($F23),3)=0)),IF($D23="One-off",($F23&gt;=S$5)*($F23&lt;=S$6),0))))))</f>
        <v>0</v>
      </c>
      <c r="T23" s="19">
        <f>IF(OR($E23="",$F23="",$D23=""),0,IF(OR($C23="Loan and finance repayments",$C23="VAT and taxes",$C23="Capital expenditure",$C23="Licences and regulatory fees"),1,1+CostAdj)*$E23*IF($D23="Weekly",(MAX(0,INT((T$6-$F23)/7)+1)-MAX(0,INT((T$5-1-$F23)/7)+1)),IF($D23="Fortnightly",(MAX(0,INT((T$6-$F23)/14)+1)-MAX(0,INT((T$5-1-$F23)/14)+1)),IF($D23="Monthly",((DATE(YEAR(T$5),MONTH(T$5),MIN(DAY($F23),DAY(EOMONTH(T$5,0))))&gt;=MAX(T$5,$F23))*(DATE(YEAR(T$5),MONTH(T$5),MIN(DAY($F23),DAY(EOMONTH(T$5,0))))&lt;=T$6)*(MOD((YEAR(T$5)-YEAR($F23))*12+MONTH(T$5)-MONTH($F23),1)=0)+(MONTH(T$6)&lt;&gt;MONTH(T$5))*(DATE(YEAR(T$6),MONTH(T$6),MIN(DAY($F23),DAY(EOMONTH(T$6,0))))&gt;=$F23)*(DATE(YEAR(T$6),MONTH(T$6),MIN(DAY($F23),DAY(EOMONTH(T$6,0))))&gt;=T$5)*(DATE(YEAR(T$6),MONTH(T$6),MIN(DAY($F23),DAY(EOMONTH(T$6,0))))&lt;=T$6)*(MOD((YEAR(T$6)-YEAR($F23))*12+MONTH(T$6)-MONTH($F23),1)=0)),IF($D23="Quarterly",((DATE(YEAR(T$5),MONTH(T$5),MIN(DAY($F23),DAY(EOMONTH(T$5,0))))&gt;=MAX(T$5,$F23))*(DATE(YEAR(T$5),MONTH(T$5),MIN(DAY($F23),DAY(EOMONTH(T$5,0))))&lt;=T$6)*(MOD((YEAR(T$5)-YEAR($F23))*12+MONTH(T$5)-MONTH($F23),3)=0)+(MONTH(T$6)&lt;&gt;MONTH(T$5))*(DATE(YEAR(T$6),MONTH(T$6),MIN(DAY($F23),DAY(EOMONTH(T$6,0))))&gt;=$F23)*(DATE(YEAR(T$6),MONTH(T$6),MIN(DAY($F23),DAY(EOMONTH(T$6,0))))&gt;=T$5)*(DATE(YEAR(T$6),MONTH(T$6),MIN(DAY($F23),DAY(EOMONTH(T$6,0))))&lt;=T$6)*(MOD((YEAR(T$6)-YEAR($F23))*12+MONTH(T$6)-MONTH($F23),3)=0)),IF($D23="One-off",($F23&gt;=T$5)*($F23&lt;=T$6),0))))))</f>
        <v>0</v>
      </c>
      <c r="U23" s="36">
        <f>SUM(H23:T23)</f>
        <v>120000</v>
      </c>
    </row>
    <row r="24" spans="1:21">
      <c r="A24" s="42">
        <v>16</v>
      </c>
      <c r="B24" s="7" t="s">
        <v>149</v>
      </c>
      <c r="C24" s="7" t="s">
        <v>12</v>
      </c>
      <c r="D24" s="7" t="s">
        <v>13</v>
      </c>
      <c r="E24" s="18">
        <v>2500</v>
      </c>
      <c r="F24" s="17">
        <v>46300</v>
      </c>
      <c r="G24" s="7"/>
      <c r="H24" s="19">
        <f>IF(OR($E24="",$F24="",$D24=""),0,IF(OR($C24="Loan and finance repayments",$C24="VAT and taxes",$C24="Capital expenditure",$C24="Licences and regulatory fees"),1,1+CostAdj)*$E24*IF($D24="Weekly",(MAX(0,INT((H$6-$F24)/7)+1)-MAX(0,INT((H$5-1-$F24)/7)+1)),IF($D24="Fortnightly",(MAX(0,INT((H$6-$F24)/14)+1)-MAX(0,INT((H$5-1-$F24)/14)+1)),IF($D24="Monthly",((DATE(YEAR(H$5),MONTH(H$5),MIN(DAY($F24),DAY(EOMONTH(H$5,0))))&gt;=MAX(H$5,$F24))*(DATE(YEAR(H$5),MONTH(H$5),MIN(DAY($F24),DAY(EOMONTH(H$5,0))))&lt;=H$6)*(MOD((YEAR(H$5)-YEAR($F24))*12+MONTH(H$5)-MONTH($F24),1)=0)+(MONTH(H$6)&lt;&gt;MONTH(H$5))*(DATE(YEAR(H$6),MONTH(H$6),MIN(DAY($F24),DAY(EOMONTH(H$6,0))))&gt;=$F24)*(DATE(YEAR(H$6),MONTH(H$6),MIN(DAY($F24),DAY(EOMONTH(H$6,0))))&gt;=H$5)*(DATE(YEAR(H$6),MONTH(H$6),MIN(DAY($F24),DAY(EOMONTH(H$6,0))))&lt;=H$6)*(MOD((YEAR(H$6)-YEAR($F24))*12+MONTH(H$6)-MONTH($F24),1)=0)),IF($D24="Quarterly",((DATE(YEAR(H$5),MONTH(H$5),MIN(DAY($F24),DAY(EOMONTH(H$5,0))))&gt;=MAX(H$5,$F24))*(DATE(YEAR(H$5),MONTH(H$5),MIN(DAY($F24),DAY(EOMONTH(H$5,0))))&lt;=H$6)*(MOD((YEAR(H$5)-YEAR($F24))*12+MONTH(H$5)-MONTH($F24),3)=0)+(MONTH(H$6)&lt;&gt;MONTH(H$5))*(DATE(YEAR(H$6),MONTH(H$6),MIN(DAY($F24),DAY(EOMONTH(H$6,0))))&gt;=$F24)*(DATE(YEAR(H$6),MONTH(H$6),MIN(DAY($F24),DAY(EOMONTH(H$6,0))))&gt;=H$5)*(DATE(YEAR(H$6),MONTH(H$6),MIN(DAY($F24),DAY(EOMONTH(H$6,0))))&lt;=H$6)*(MOD((YEAR(H$6)-YEAR($F24))*12+MONTH(H$6)-MONTH($F24),3)=0)),IF($D24="One-off",($F24&gt;=H$5)*($F24&lt;=H$6),0))))))</f>
        <v>2500</v>
      </c>
      <c r="I24" s="19">
        <f>IF(OR($E24="",$F24="",$D24=""),0,IF(OR($C24="Loan and finance repayments",$C24="VAT and taxes",$C24="Capital expenditure",$C24="Licences and regulatory fees"),1,1+CostAdj)*$E24*IF($D24="Weekly",(MAX(0,INT((I$6-$F24)/7)+1)-MAX(0,INT((I$5-1-$F24)/7)+1)),IF($D24="Fortnightly",(MAX(0,INT((I$6-$F24)/14)+1)-MAX(0,INT((I$5-1-$F24)/14)+1)),IF($D24="Monthly",((DATE(YEAR(I$5),MONTH(I$5),MIN(DAY($F24),DAY(EOMONTH(I$5,0))))&gt;=MAX(I$5,$F24))*(DATE(YEAR(I$5),MONTH(I$5),MIN(DAY($F24),DAY(EOMONTH(I$5,0))))&lt;=I$6)*(MOD((YEAR(I$5)-YEAR($F24))*12+MONTH(I$5)-MONTH($F24),1)=0)+(MONTH(I$6)&lt;&gt;MONTH(I$5))*(DATE(YEAR(I$6),MONTH(I$6),MIN(DAY($F24),DAY(EOMONTH(I$6,0))))&gt;=$F24)*(DATE(YEAR(I$6),MONTH(I$6),MIN(DAY($F24),DAY(EOMONTH(I$6,0))))&gt;=I$5)*(DATE(YEAR(I$6),MONTH(I$6),MIN(DAY($F24),DAY(EOMONTH(I$6,0))))&lt;=I$6)*(MOD((YEAR(I$6)-YEAR($F24))*12+MONTH(I$6)-MONTH($F24),1)=0)),IF($D24="Quarterly",((DATE(YEAR(I$5),MONTH(I$5),MIN(DAY($F24),DAY(EOMONTH(I$5,0))))&gt;=MAX(I$5,$F24))*(DATE(YEAR(I$5),MONTH(I$5),MIN(DAY($F24),DAY(EOMONTH(I$5,0))))&lt;=I$6)*(MOD((YEAR(I$5)-YEAR($F24))*12+MONTH(I$5)-MONTH($F24),3)=0)+(MONTH(I$6)&lt;&gt;MONTH(I$5))*(DATE(YEAR(I$6),MONTH(I$6),MIN(DAY($F24),DAY(EOMONTH(I$6,0))))&gt;=$F24)*(DATE(YEAR(I$6),MONTH(I$6),MIN(DAY($F24),DAY(EOMONTH(I$6,0))))&gt;=I$5)*(DATE(YEAR(I$6),MONTH(I$6),MIN(DAY($F24),DAY(EOMONTH(I$6,0))))&lt;=I$6)*(MOD((YEAR(I$6)-YEAR($F24))*12+MONTH(I$6)-MONTH($F24),3)=0)),IF($D24="One-off",($F24&gt;=I$5)*($F24&lt;=I$6),0))))))</f>
        <v>2500</v>
      </c>
      <c r="J24" s="19">
        <f>IF(OR($E24="",$F24="",$D24=""),0,IF(OR($C24="Loan and finance repayments",$C24="VAT and taxes",$C24="Capital expenditure",$C24="Licences and regulatory fees"),1,1+CostAdj)*$E24*IF($D24="Weekly",(MAX(0,INT((J$6-$F24)/7)+1)-MAX(0,INT((J$5-1-$F24)/7)+1)),IF($D24="Fortnightly",(MAX(0,INT((J$6-$F24)/14)+1)-MAX(0,INT((J$5-1-$F24)/14)+1)),IF($D24="Monthly",((DATE(YEAR(J$5),MONTH(J$5),MIN(DAY($F24),DAY(EOMONTH(J$5,0))))&gt;=MAX(J$5,$F24))*(DATE(YEAR(J$5),MONTH(J$5),MIN(DAY($F24),DAY(EOMONTH(J$5,0))))&lt;=J$6)*(MOD((YEAR(J$5)-YEAR($F24))*12+MONTH(J$5)-MONTH($F24),1)=0)+(MONTH(J$6)&lt;&gt;MONTH(J$5))*(DATE(YEAR(J$6),MONTH(J$6),MIN(DAY($F24),DAY(EOMONTH(J$6,0))))&gt;=$F24)*(DATE(YEAR(J$6),MONTH(J$6),MIN(DAY($F24),DAY(EOMONTH(J$6,0))))&gt;=J$5)*(DATE(YEAR(J$6),MONTH(J$6),MIN(DAY($F24),DAY(EOMONTH(J$6,0))))&lt;=J$6)*(MOD((YEAR(J$6)-YEAR($F24))*12+MONTH(J$6)-MONTH($F24),1)=0)),IF($D24="Quarterly",((DATE(YEAR(J$5),MONTH(J$5),MIN(DAY($F24),DAY(EOMONTH(J$5,0))))&gt;=MAX(J$5,$F24))*(DATE(YEAR(J$5),MONTH(J$5),MIN(DAY($F24),DAY(EOMONTH(J$5,0))))&lt;=J$6)*(MOD((YEAR(J$5)-YEAR($F24))*12+MONTH(J$5)-MONTH($F24),3)=0)+(MONTH(J$6)&lt;&gt;MONTH(J$5))*(DATE(YEAR(J$6),MONTH(J$6),MIN(DAY($F24),DAY(EOMONTH(J$6,0))))&gt;=$F24)*(DATE(YEAR(J$6),MONTH(J$6),MIN(DAY($F24),DAY(EOMONTH(J$6,0))))&gt;=J$5)*(DATE(YEAR(J$6),MONTH(J$6),MIN(DAY($F24),DAY(EOMONTH(J$6,0))))&lt;=J$6)*(MOD((YEAR(J$6)-YEAR($F24))*12+MONTH(J$6)-MONTH($F24),3)=0)),IF($D24="One-off",($F24&gt;=J$5)*($F24&lt;=J$6),0))))))</f>
        <v>2500</v>
      </c>
      <c r="K24" s="19">
        <f>IF(OR($E24="",$F24="",$D24=""),0,IF(OR($C24="Loan and finance repayments",$C24="VAT and taxes",$C24="Capital expenditure",$C24="Licences and regulatory fees"),1,1+CostAdj)*$E24*IF($D24="Weekly",(MAX(0,INT((K$6-$F24)/7)+1)-MAX(0,INT((K$5-1-$F24)/7)+1)),IF($D24="Fortnightly",(MAX(0,INT((K$6-$F24)/14)+1)-MAX(0,INT((K$5-1-$F24)/14)+1)),IF($D24="Monthly",((DATE(YEAR(K$5),MONTH(K$5),MIN(DAY($F24),DAY(EOMONTH(K$5,0))))&gt;=MAX(K$5,$F24))*(DATE(YEAR(K$5),MONTH(K$5),MIN(DAY($F24),DAY(EOMONTH(K$5,0))))&lt;=K$6)*(MOD((YEAR(K$5)-YEAR($F24))*12+MONTH(K$5)-MONTH($F24),1)=0)+(MONTH(K$6)&lt;&gt;MONTH(K$5))*(DATE(YEAR(K$6),MONTH(K$6),MIN(DAY($F24),DAY(EOMONTH(K$6,0))))&gt;=$F24)*(DATE(YEAR(K$6),MONTH(K$6),MIN(DAY($F24),DAY(EOMONTH(K$6,0))))&gt;=K$5)*(DATE(YEAR(K$6),MONTH(K$6),MIN(DAY($F24),DAY(EOMONTH(K$6,0))))&lt;=K$6)*(MOD((YEAR(K$6)-YEAR($F24))*12+MONTH(K$6)-MONTH($F24),1)=0)),IF($D24="Quarterly",((DATE(YEAR(K$5),MONTH(K$5),MIN(DAY($F24),DAY(EOMONTH(K$5,0))))&gt;=MAX(K$5,$F24))*(DATE(YEAR(K$5),MONTH(K$5),MIN(DAY($F24),DAY(EOMONTH(K$5,0))))&lt;=K$6)*(MOD((YEAR(K$5)-YEAR($F24))*12+MONTH(K$5)-MONTH($F24),3)=0)+(MONTH(K$6)&lt;&gt;MONTH(K$5))*(DATE(YEAR(K$6),MONTH(K$6),MIN(DAY($F24),DAY(EOMONTH(K$6,0))))&gt;=$F24)*(DATE(YEAR(K$6),MONTH(K$6),MIN(DAY($F24),DAY(EOMONTH(K$6,0))))&gt;=K$5)*(DATE(YEAR(K$6),MONTH(K$6),MIN(DAY($F24),DAY(EOMONTH(K$6,0))))&lt;=K$6)*(MOD((YEAR(K$6)-YEAR($F24))*12+MONTH(K$6)-MONTH($F24),3)=0)),IF($D24="One-off",($F24&gt;=K$5)*($F24&lt;=K$6),0))))))</f>
        <v>2500</v>
      </c>
      <c r="L24" s="19">
        <f>IF(OR($E24="",$F24="",$D24=""),0,IF(OR($C24="Loan and finance repayments",$C24="VAT and taxes",$C24="Capital expenditure",$C24="Licences and regulatory fees"),1,1+CostAdj)*$E24*IF($D24="Weekly",(MAX(0,INT((L$6-$F24)/7)+1)-MAX(0,INT((L$5-1-$F24)/7)+1)),IF($D24="Fortnightly",(MAX(0,INT((L$6-$F24)/14)+1)-MAX(0,INT((L$5-1-$F24)/14)+1)),IF($D24="Monthly",((DATE(YEAR(L$5),MONTH(L$5),MIN(DAY($F24),DAY(EOMONTH(L$5,0))))&gt;=MAX(L$5,$F24))*(DATE(YEAR(L$5),MONTH(L$5),MIN(DAY($F24),DAY(EOMONTH(L$5,0))))&lt;=L$6)*(MOD((YEAR(L$5)-YEAR($F24))*12+MONTH(L$5)-MONTH($F24),1)=0)+(MONTH(L$6)&lt;&gt;MONTH(L$5))*(DATE(YEAR(L$6),MONTH(L$6),MIN(DAY($F24),DAY(EOMONTH(L$6,0))))&gt;=$F24)*(DATE(YEAR(L$6),MONTH(L$6),MIN(DAY($F24),DAY(EOMONTH(L$6,0))))&gt;=L$5)*(DATE(YEAR(L$6),MONTH(L$6),MIN(DAY($F24),DAY(EOMONTH(L$6,0))))&lt;=L$6)*(MOD((YEAR(L$6)-YEAR($F24))*12+MONTH(L$6)-MONTH($F24),1)=0)),IF($D24="Quarterly",((DATE(YEAR(L$5),MONTH(L$5),MIN(DAY($F24),DAY(EOMONTH(L$5,0))))&gt;=MAX(L$5,$F24))*(DATE(YEAR(L$5),MONTH(L$5),MIN(DAY($F24),DAY(EOMONTH(L$5,0))))&lt;=L$6)*(MOD((YEAR(L$5)-YEAR($F24))*12+MONTH(L$5)-MONTH($F24),3)=0)+(MONTH(L$6)&lt;&gt;MONTH(L$5))*(DATE(YEAR(L$6),MONTH(L$6),MIN(DAY($F24),DAY(EOMONTH(L$6,0))))&gt;=$F24)*(DATE(YEAR(L$6),MONTH(L$6),MIN(DAY($F24),DAY(EOMONTH(L$6,0))))&gt;=L$5)*(DATE(YEAR(L$6),MONTH(L$6),MIN(DAY($F24),DAY(EOMONTH(L$6,0))))&lt;=L$6)*(MOD((YEAR(L$6)-YEAR($F24))*12+MONTH(L$6)-MONTH($F24),3)=0)),IF($D24="One-off",($F24&gt;=L$5)*($F24&lt;=L$6),0))))))</f>
        <v>2500</v>
      </c>
      <c r="M24" s="19">
        <f>IF(OR($E24="",$F24="",$D24=""),0,IF(OR($C24="Loan and finance repayments",$C24="VAT and taxes",$C24="Capital expenditure",$C24="Licences and regulatory fees"),1,1+CostAdj)*$E24*IF($D24="Weekly",(MAX(0,INT((M$6-$F24)/7)+1)-MAX(0,INT((M$5-1-$F24)/7)+1)),IF($D24="Fortnightly",(MAX(0,INT((M$6-$F24)/14)+1)-MAX(0,INT((M$5-1-$F24)/14)+1)),IF($D24="Monthly",((DATE(YEAR(M$5),MONTH(M$5),MIN(DAY($F24),DAY(EOMONTH(M$5,0))))&gt;=MAX(M$5,$F24))*(DATE(YEAR(M$5),MONTH(M$5),MIN(DAY($F24),DAY(EOMONTH(M$5,0))))&lt;=M$6)*(MOD((YEAR(M$5)-YEAR($F24))*12+MONTH(M$5)-MONTH($F24),1)=0)+(MONTH(M$6)&lt;&gt;MONTH(M$5))*(DATE(YEAR(M$6),MONTH(M$6),MIN(DAY($F24),DAY(EOMONTH(M$6,0))))&gt;=$F24)*(DATE(YEAR(M$6),MONTH(M$6),MIN(DAY($F24),DAY(EOMONTH(M$6,0))))&gt;=M$5)*(DATE(YEAR(M$6),MONTH(M$6),MIN(DAY($F24),DAY(EOMONTH(M$6,0))))&lt;=M$6)*(MOD((YEAR(M$6)-YEAR($F24))*12+MONTH(M$6)-MONTH($F24),1)=0)),IF($D24="Quarterly",((DATE(YEAR(M$5),MONTH(M$5),MIN(DAY($F24),DAY(EOMONTH(M$5,0))))&gt;=MAX(M$5,$F24))*(DATE(YEAR(M$5),MONTH(M$5),MIN(DAY($F24),DAY(EOMONTH(M$5,0))))&lt;=M$6)*(MOD((YEAR(M$5)-YEAR($F24))*12+MONTH(M$5)-MONTH($F24),3)=0)+(MONTH(M$6)&lt;&gt;MONTH(M$5))*(DATE(YEAR(M$6),MONTH(M$6),MIN(DAY($F24),DAY(EOMONTH(M$6,0))))&gt;=$F24)*(DATE(YEAR(M$6),MONTH(M$6),MIN(DAY($F24),DAY(EOMONTH(M$6,0))))&gt;=M$5)*(DATE(YEAR(M$6),MONTH(M$6),MIN(DAY($F24),DAY(EOMONTH(M$6,0))))&lt;=M$6)*(MOD((YEAR(M$6)-YEAR($F24))*12+MONTH(M$6)-MONTH($F24),3)=0)),IF($D24="One-off",($F24&gt;=M$5)*($F24&lt;=M$6),0))))))</f>
        <v>2500</v>
      </c>
      <c r="N24" s="19">
        <f>IF(OR($E24="",$F24="",$D24=""),0,IF(OR($C24="Loan and finance repayments",$C24="VAT and taxes",$C24="Capital expenditure",$C24="Licences and regulatory fees"),1,1+CostAdj)*$E24*IF($D24="Weekly",(MAX(0,INT((N$6-$F24)/7)+1)-MAX(0,INT((N$5-1-$F24)/7)+1)),IF($D24="Fortnightly",(MAX(0,INT((N$6-$F24)/14)+1)-MAX(0,INT((N$5-1-$F24)/14)+1)),IF($D24="Monthly",((DATE(YEAR(N$5),MONTH(N$5),MIN(DAY($F24),DAY(EOMONTH(N$5,0))))&gt;=MAX(N$5,$F24))*(DATE(YEAR(N$5),MONTH(N$5),MIN(DAY($F24),DAY(EOMONTH(N$5,0))))&lt;=N$6)*(MOD((YEAR(N$5)-YEAR($F24))*12+MONTH(N$5)-MONTH($F24),1)=0)+(MONTH(N$6)&lt;&gt;MONTH(N$5))*(DATE(YEAR(N$6),MONTH(N$6),MIN(DAY($F24),DAY(EOMONTH(N$6,0))))&gt;=$F24)*(DATE(YEAR(N$6),MONTH(N$6),MIN(DAY($F24),DAY(EOMONTH(N$6,0))))&gt;=N$5)*(DATE(YEAR(N$6),MONTH(N$6),MIN(DAY($F24),DAY(EOMONTH(N$6,0))))&lt;=N$6)*(MOD((YEAR(N$6)-YEAR($F24))*12+MONTH(N$6)-MONTH($F24),1)=0)),IF($D24="Quarterly",((DATE(YEAR(N$5),MONTH(N$5),MIN(DAY($F24),DAY(EOMONTH(N$5,0))))&gt;=MAX(N$5,$F24))*(DATE(YEAR(N$5),MONTH(N$5),MIN(DAY($F24),DAY(EOMONTH(N$5,0))))&lt;=N$6)*(MOD((YEAR(N$5)-YEAR($F24))*12+MONTH(N$5)-MONTH($F24),3)=0)+(MONTH(N$6)&lt;&gt;MONTH(N$5))*(DATE(YEAR(N$6),MONTH(N$6),MIN(DAY($F24),DAY(EOMONTH(N$6,0))))&gt;=$F24)*(DATE(YEAR(N$6),MONTH(N$6),MIN(DAY($F24),DAY(EOMONTH(N$6,0))))&gt;=N$5)*(DATE(YEAR(N$6),MONTH(N$6),MIN(DAY($F24),DAY(EOMONTH(N$6,0))))&lt;=N$6)*(MOD((YEAR(N$6)-YEAR($F24))*12+MONTH(N$6)-MONTH($F24),3)=0)),IF($D24="One-off",($F24&gt;=N$5)*($F24&lt;=N$6),0))))))</f>
        <v>2500</v>
      </c>
      <c r="O24" s="19">
        <f>IF(OR($E24="",$F24="",$D24=""),0,IF(OR($C24="Loan and finance repayments",$C24="VAT and taxes",$C24="Capital expenditure",$C24="Licences and regulatory fees"),1,1+CostAdj)*$E24*IF($D24="Weekly",(MAX(0,INT((O$6-$F24)/7)+1)-MAX(0,INT((O$5-1-$F24)/7)+1)),IF($D24="Fortnightly",(MAX(0,INT((O$6-$F24)/14)+1)-MAX(0,INT((O$5-1-$F24)/14)+1)),IF($D24="Monthly",((DATE(YEAR(O$5),MONTH(O$5),MIN(DAY($F24),DAY(EOMONTH(O$5,0))))&gt;=MAX(O$5,$F24))*(DATE(YEAR(O$5),MONTH(O$5),MIN(DAY($F24),DAY(EOMONTH(O$5,0))))&lt;=O$6)*(MOD((YEAR(O$5)-YEAR($F24))*12+MONTH(O$5)-MONTH($F24),1)=0)+(MONTH(O$6)&lt;&gt;MONTH(O$5))*(DATE(YEAR(O$6),MONTH(O$6),MIN(DAY($F24),DAY(EOMONTH(O$6,0))))&gt;=$F24)*(DATE(YEAR(O$6),MONTH(O$6),MIN(DAY($F24),DAY(EOMONTH(O$6,0))))&gt;=O$5)*(DATE(YEAR(O$6),MONTH(O$6),MIN(DAY($F24),DAY(EOMONTH(O$6,0))))&lt;=O$6)*(MOD((YEAR(O$6)-YEAR($F24))*12+MONTH(O$6)-MONTH($F24),1)=0)),IF($D24="Quarterly",((DATE(YEAR(O$5),MONTH(O$5),MIN(DAY($F24),DAY(EOMONTH(O$5,0))))&gt;=MAX(O$5,$F24))*(DATE(YEAR(O$5),MONTH(O$5),MIN(DAY($F24),DAY(EOMONTH(O$5,0))))&lt;=O$6)*(MOD((YEAR(O$5)-YEAR($F24))*12+MONTH(O$5)-MONTH($F24),3)=0)+(MONTH(O$6)&lt;&gt;MONTH(O$5))*(DATE(YEAR(O$6),MONTH(O$6),MIN(DAY($F24),DAY(EOMONTH(O$6,0))))&gt;=$F24)*(DATE(YEAR(O$6),MONTH(O$6),MIN(DAY($F24),DAY(EOMONTH(O$6,0))))&gt;=O$5)*(DATE(YEAR(O$6),MONTH(O$6),MIN(DAY($F24),DAY(EOMONTH(O$6,0))))&lt;=O$6)*(MOD((YEAR(O$6)-YEAR($F24))*12+MONTH(O$6)-MONTH($F24),3)=0)),IF($D24="One-off",($F24&gt;=O$5)*($F24&lt;=O$6),0))))))</f>
        <v>2500</v>
      </c>
      <c r="P24" s="19">
        <f>IF(OR($E24="",$F24="",$D24=""),0,IF(OR($C24="Loan and finance repayments",$C24="VAT and taxes",$C24="Capital expenditure",$C24="Licences and regulatory fees"),1,1+CostAdj)*$E24*IF($D24="Weekly",(MAX(0,INT((P$6-$F24)/7)+1)-MAX(0,INT((P$5-1-$F24)/7)+1)),IF($D24="Fortnightly",(MAX(0,INT((P$6-$F24)/14)+1)-MAX(0,INT((P$5-1-$F24)/14)+1)),IF($D24="Monthly",((DATE(YEAR(P$5),MONTH(P$5),MIN(DAY($F24),DAY(EOMONTH(P$5,0))))&gt;=MAX(P$5,$F24))*(DATE(YEAR(P$5),MONTH(P$5),MIN(DAY($F24),DAY(EOMONTH(P$5,0))))&lt;=P$6)*(MOD((YEAR(P$5)-YEAR($F24))*12+MONTH(P$5)-MONTH($F24),1)=0)+(MONTH(P$6)&lt;&gt;MONTH(P$5))*(DATE(YEAR(P$6),MONTH(P$6),MIN(DAY($F24),DAY(EOMONTH(P$6,0))))&gt;=$F24)*(DATE(YEAR(P$6),MONTH(P$6),MIN(DAY($F24),DAY(EOMONTH(P$6,0))))&gt;=P$5)*(DATE(YEAR(P$6),MONTH(P$6),MIN(DAY($F24),DAY(EOMONTH(P$6,0))))&lt;=P$6)*(MOD((YEAR(P$6)-YEAR($F24))*12+MONTH(P$6)-MONTH($F24),1)=0)),IF($D24="Quarterly",((DATE(YEAR(P$5),MONTH(P$5),MIN(DAY($F24),DAY(EOMONTH(P$5,0))))&gt;=MAX(P$5,$F24))*(DATE(YEAR(P$5),MONTH(P$5),MIN(DAY($F24),DAY(EOMONTH(P$5,0))))&lt;=P$6)*(MOD((YEAR(P$5)-YEAR($F24))*12+MONTH(P$5)-MONTH($F24),3)=0)+(MONTH(P$6)&lt;&gt;MONTH(P$5))*(DATE(YEAR(P$6),MONTH(P$6),MIN(DAY($F24),DAY(EOMONTH(P$6,0))))&gt;=$F24)*(DATE(YEAR(P$6),MONTH(P$6),MIN(DAY($F24),DAY(EOMONTH(P$6,0))))&gt;=P$5)*(DATE(YEAR(P$6),MONTH(P$6),MIN(DAY($F24),DAY(EOMONTH(P$6,0))))&lt;=P$6)*(MOD((YEAR(P$6)-YEAR($F24))*12+MONTH(P$6)-MONTH($F24),3)=0)),IF($D24="One-off",($F24&gt;=P$5)*($F24&lt;=P$6),0))))))</f>
        <v>2500</v>
      </c>
      <c r="Q24" s="19">
        <f>IF(OR($E24="",$F24="",$D24=""),0,IF(OR($C24="Loan and finance repayments",$C24="VAT and taxes",$C24="Capital expenditure",$C24="Licences and regulatory fees"),1,1+CostAdj)*$E24*IF($D24="Weekly",(MAX(0,INT((Q$6-$F24)/7)+1)-MAX(0,INT((Q$5-1-$F24)/7)+1)),IF($D24="Fortnightly",(MAX(0,INT((Q$6-$F24)/14)+1)-MAX(0,INT((Q$5-1-$F24)/14)+1)),IF($D24="Monthly",((DATE(YEAR(Q$5),MONTH(Q$5),MIN(DAY($F24),DAY(EOMONTH(Q$5,0))))&gt;=MAX(Q$5,$F24))*(DATE(YEAR(Q$5),MONTH(Q$5),MIN(DAY($F24),DAY(EOMONTH(Q$5,0))))&lt;=Q$6)*(MOD((YEAR(Q$5)-YEAR($F24))*12+MONTH(Q$5)-MONTH($F24),1)=0)+(MONTH(Q$6)&lt;&gt;MONTH(Q$5))*(DATE(YEAR(Q$6),MONTH(Q$6),MIN(DAY($F24),DAY(EOMONTH(Q$6,0))))&gt;=$F24)*(DATE(YEAR(Q$6),MONTH(Q$6),MIN(DAY($F24),DAY(EOMONTH(Q$6,0))))&gt;=Q$5)*(DATE(YEAR(Q$6),MONTH(Q$6),MIN(DAY($F24),DAY(EOMONTH(Q$6,0))))&lt;=Q$6)*(MOD((YEAR(Q$6)-YEAR($F24))*12+MONTH(Q$6)-MONTH($F24),1)=0)),IF($D24="Quarterly",((DATE(YEAR(Q$5),MONTH(Q$5),MIN(DAY($F24),DAY(EOMONTH(Q$5,0))))&gt;=MAX(Q$5,$F24))*(DATE(YEAR(Q$5),MONTH(Q$5),MIN(DAY($F24),DAY(EOMONTH(Q$5,0))))&lt;=Q$6)*(MOD((YEAR(Q$5)-YEAR($F24))*12+MONTH(Q$5)-MONTH($F24),3)=0)+(MONTH(Q$6)&lt;&gt;MONTH(Q$5))*(DATE(YEAR(Q$6),MONTH(Q$6),MIN(DAY($F24),DAY(EOMONTH(Q$6,0))))&gt;=$F24)*(DATE(YEAR(Q$6),MONTH(Q$6),MIN(DAY($F24),DAY(EOMONTH(Q$6,0))))&gt;=Q$5)*(DATE(YEAR(Q$6),MONTH(Q$6),MIN(DAY($F24),DAY(EOMONTH(Q$6,0))))&lt;=Q$6)*(MOD((YEAR(Q$6)-YEAR($F24))*12+MONTH(Q$6)-MONTH($F24),3)=0)),IF($D24="One-off",($F24&gt;=Q$5)*($F24&lt;=Q$6),0))))))</f>
        <v>2500</v>
      </c>
      <c r="R24" s="19">
        <f>IF(OR($E24="",$F24="",$D24=""),0,IF(OR($C24="Loan and finance repayments",$C24="VAT and taxes",$C24="Capital expenditure",$C24="Licences and regulatory fees"),1,1+CostAdj)*$E24*IF($D24="Weekly",(MAX(0,INT((R$6-$F24)/7)+1)-MAX(0,INT((R$5-1-$F24)/7)+1)),IF($D24="Fortnightly",(MAX(0,INT((R$6-$F24)/14)+1)-MAX(0,INT((R$5-1-$F24)/14)+1)),IF($D24="Monthly",((DATE(YEAR(R$5),MONTH(R$5),MIN(DAY($F24),DAY(EOMONTH(R$5,0))))&gt;=MAX(R$5,$F24))*(DATE(YEAR(R$5),MONTH(R$5),MIN(DAY($F24),DAY(EOMONTH(R$5,0))))&lt;=R$6)*(MOD((YEAR(R$5)-YEAR($F24))*12+MONTH(R$5)-MONTH($F24),1)=0)+(MONTH(R$6)&lt;&gt;MONTH(R$5))*(DATE(YEAR(R$6),MONTH(R$6),MIN(DAY($F24),DAY(EOMONTH(R$6,0))))&gt;=$F24)*(DATE(YEAR(R$6),MONTH(R$6),MIN(DAY($F24),DAY(EOMONTH(R$6,0))))&gt;=R$5)*(DATE(YEAR(R$6),MONTH(R$6),MIN(DAY($F24),DAY(EOMONTH(R$6,0))))&lt;=R$6)*(MOD((YEAR(R$6)-YEAR($F24))*12+MONTH(R$6)-MONTH($F24),1)=0)),IF($D24="Quarterly",((DATE(YEAR(R$5),MONTH(R$5),MIN(DAY($F24),DAY(EOMONTH(R$5,0))))&gt;=MAX(R$5,$F24))*(DATE(YEAR(R$5),MONTH(R$5),MIN(DAY($F24),DAY(EOMONTH(R$5,0))))&lt;=R$6)*(MOD((YEAR(R$5)-YEAR($F24))*12+MONTH(R$5)-MONTH($F24),3)=0)+(MONTH(R$6)&lt;&gt;MONTH(R$5))*(DATE(YEAR(R$6),MONTH(R$6),MIN(DAY($F24),DAY(EOMONTH(R$6,0))))&gt;=$F24)*(DATE(YEAR(R$6),MONTH(R$6),MIN(DAY($F24),DAY(EOMONTH(R$6,0))))&gt;=R$5)*(DATE(YEAR(R$6),MONTH(R$6),MIN(DAY($F24),DAY(EOMONTH(R$6,0))))&lt;=R$6)*(MOD((YEAR(R$6)-YEAR($F24))*12+MONTH(R$6)-MONTH($F24),3)=0)),IF($D24="One-off",($F24&gt;=R$5)*($F24&lt;=R$6),0))))))</f>
        <v>2500</v>
      </c>
      <c r="S24" s="19">
        <f>IF(OR($E24="",$F24="",$D24=""),0,IF(OR($C24="Loan and finance repayments",$C24="VAT and taxes",$C24="Capital expenditure",$C24="Licences and regulatory fees"),1,1+CostAdj)*$E24*IF($D24="Weekly",(MAX(0,INT((S$6-$F24)/7)+1)-MAX(0,INT((S$5-1-$F24)/7)+1)),IF($D24="Fortnightly",(MAX(0,INT((S$6-$F24)/14)+1)-MAX(0,INT((S$5-1-$F24)/14)+1)),IF($D24="Monthly",((DATE(YEAR(S$5),MONTH(S$5),MIN(DAY($F24),DAY(EOMONTH(S$5,0))))&gt;=MAX(S$5,$F24))*(DATE(YEAR(S$5),MONTH(S$5),MIN(DAY($F24),DAY(EOMONTH(S$5,0))))&lt;=S$6)*(MOD((YEAR(S$5)-YEAR($F24))*12+MONTH(S$5)-MONTH($F24),1)=0)+(MONTH(S$6)&lt;&gt;MONTH(S$5))*(DATE(YEAR(S$6),MONTH(S$6),MIN(DAY($F24),DAY(EOMONTH(S$6,0))))&gt;=$F24)*(DATE(YEAR(S$6),MONTH(S$6),MIN(DAY($F24),DAY(EOMONTH(S$6,0))))&gt;=S$5)*(DATE(YEAR(S$6),MONTH(S$6),MIN(DAY($F24),DAY(EOMONTH(S$6,0))))&lt;=S$6)*(MOD((YEAR(S$6)-YEAR($F24))*12+MONTH(S$6)-MONTH($F24),1)=0)),IF($D24="Quarterly",((DATE(YEAR(S$5),MONTH(S$5),MIN(DAY($F24),DAY(EOMONTH(S$5,0))))&gt;=MAX(S$5,$F24))*(DATE(YEAR(S$5),MONTH(S$5),MIN(DAY($F24),DAY(EOMONTH(S$5,0))))&lt;=S$6)*(MOD((YEAR(S$5)-YEAR($F24))*12+MONTH(S$5)-MONTH($F24),3)=0)+(MONTH(S$6)&lt;&gt;MONTH(S$5))*(DATE(YEAR(S$6),MONTH(S$6),MIN(DAY($F24),DAY(EOMONTH(S$6,0))))&gt;=$F24)*(DATE(YEAR(S$6),MONTH(S$6),MIN(DAY($F24),DAY(EOMONTH(S$6,0))))&gt;=S$5)*(DATE(YEAR(S$6),MONTH(S$6),MIN(DAY($F24),DAY(EOMONTH(S$6,0))))&lt;=S$6)*(MOD((YEAR(S$6)-YEAR($F24))*12+MONTH(S$6)-MONTH($F24),3)=0)),IF($D24="One-off",($F24&gt;=S$5)*($F24&lt;=S$6),0))))))</f>
        <v>2500</v>
      </c>
      <c r="T24" s="19">
        <f>IF(OR($E24="",$F24="",$D24=""),0,IF(OR($C24="Loan and finance repayments",$C24="VAT and taxes",$C24="Capital expenditure",$C24="Licences and regulatory fees"),1,1+CostAdj)*$E24*IF($D24="Weekly",(MAX(0,INT((T$6-$F24)/7)+1)-MAX(0,INT((T$5-1-$F24)/7)+1)),IF($D24="Fortnightly",(MAX(0,INT((T$6-$F24)/14)+1)-MAX(0,INT((T$5-1-$F24)/14)+1)),IF($D24="Monthly",((DATE(YEAR(T$5),MONTH(T$5),MIN(DAY($F24),DAY(EOMONTH(T$5,0))))&gt;=MAX(T$5,$F24))*(DATE(YEAR(T$5),MONTH(T$5),MIN(DAY($F24),DAY(EOMONTH(T$5,0))))&lt;=T$6)*(MOD((YEAR(T$5)-YEAR($F24))*12+MONTH(T$5)-MONTH($F24),1)=0)+(MONTH(T$6)&lt;&gt;MONTH(T$5))*(DATE(YEAR(T$6),MONTH(T$6),MIN(DAY($F24),DAY(EOMONTH(T$6,0))))&gt;=$F24)*(DATE(YEAR(T$6),MONTH(T$6),MIN(DAY($F24),DAY(EOMONTH(T$6,0))))&gt;=T$5)*(DATE(YEAR(T$6),MONTH(T$6),MIN(DAY($F24),DAY(EOMONTH(T$6,0))))&lt;=T$6)*(MOD((YEAR(T$6)-YEAR($F24))*12+MONTH(T$6)-MONTH($F24),1)=0)),IF($D24="Quarterly",((DATE(YEAR(T$5),MONTH(T$5),MIN(DAY($F24),DAY(EOMONTH(T$5,0))))&gt;=MAX(T$5,$F24))*(DATE(YEAR(T$5),MONTH(T$5),MIN(DAY($F24),DAY(EOMONTH(T$5,0))))&lt;=T$6)*(MOD((YEAR(T$5)-YEAR($F24))*12+MONTH(T$5)-MONTH($F24),3)=0)+(MONTH(T$6)&lt;&gt;MONTH(T$5))*(DATE(YEAR(T$6),MONTH(T$6),MIN(DAY($F24),DAY(EOMONTH(T$6,0))))&gt;=$F24)*(DATE(YEAR(T$6),MONTH(T$6),MIN(DAY($F24),DAY(EOMONTH(T$6,0))))&gt;=T$5)*(DATE(YEAR(T$6),MONTH(T$6),MIN(DAY($F24),DAY(EOMONTH(T$6,0))))&lt;=T$6)*(MOD((YEAR(T$6)-YEAR($F24))*12+MONTH(T$6)-MONTH($F24),3)=0)),IF($D24="One-off",($F24&gt;=T$5)*($F24&lt;=T$6),0))))))</f>
        <v>2500</v>
      </c>
      <c r="U24" s="36">
        <f>SUM(H24:T24)</f>
        <v>32500</v>
      </c>
    </row>
    <row r="25" spans="1:21">
      <c r="A25" s="42">
        <v>17</v>
      </c>
      <c r="B25" s="7" t="s">
        <v>150</v>
      </c>
      <c r="C25" s="7" t="s">
        <v>12</v>
      </c>
      <c r="D25" s="7" t="s">
        <v>15</v>
      </c>
      <c r="E25" s="18">
        <v>4200</v>
      </c>
      <c r="F25" s="17">
        <v>46317</v>
      </c>
      <c r="G25" s="7"/>
      <c r="H25" s="19">
        <f>IF(OR($E25="",$F25="",$D25=""),0,IF(OR($C25="Loan and finance repayments",$C25="VAT and taxes",$C25="Capital expenditure",$C25="Licences and regulatory fees"),1,1+CostAdj)*$E25*IF($D25="Weekly",(MAX(0,INT((H$6-$F25)/7)+1)-MAX(0,INT((H$5-1-$F25)/7)+1)),IF($D25="Fortnightly",(MAX(0,INT((H$6-$F25)/14)+1)-MAX(0,INT((H$5-1-$F25)/14)+1)),IF($D25="Monthly",((DATE(YEAR(H$5),MONTH(H$5),MIN(DAY($F25),DAY(EOMONTH(H$5,0))))&gt;=MAX(H$5,$F25))*(DATE(YEAR(H$5),MONTH(H$5),MIN(DAY($F25),DAY(EOMONTH(H$5,0))))&lt;=H$6)*(MOD((YEAR(H$5)-YEAR($F25))*12+MONTH(H$5)-MONTH($F25),1)=0)+(MONTH(H$6)&lt;&gt;MONTH(H$5))*(DATE(YEAR(H$6),MONTH(H$6),MIN(DAY($F25),DAY(EOMONTH(H$6,0))))&gt;=$F25)*(DATE(YEAR(H$6),MONTH(H$6),MIN(DAY($F25),DAY(EOMONTH(H$6,0))))&gt;=H$5)*(DATE(YEAR(H$6),MONTH(H$6),MIN(DAY($F25),DAY(EOMONTH(H$6,0))))&lt;=H$6)*(MOD((YEAR(H$6)-YEAR($F25))*12+MONTH(H$6)-MONTH($F25),1)=0)),IF($D25="Quarterly",((DATE(YEAR(H$5),MONTH(H$5),MIN(DAY($F25),DAY(EOMONTH(H$5,0))))&gt;=MAX(H$5,$F25))*(DATE(YEAR(H$5),MONTH(H$5),MIN(DAY($F25),DAY(EOMONTH(H$5,0))))&lt;=H$6)*(MOD((YEAR(H$5)-YEAR($F25))*12+MONTH(H$5)-MONTH($F25),3)=0)+(MONTH(H$6)&lt;&gt;MONTH(H$5))*(DATE(YEAR(H$6),MONTH(H$6),MIN(DAY($F25),DAY(EOMONTH(H$6,0))))&gt;=$F25)*(DATE(YEAR(H$6),MONTH(H$6),MIN(DAY($F25),DAY(EOMONTH(H$6,0))))&gt;=H$5)*(DATE(YEAR(H$6),MONTH(H$6),MIN(DAY($F25),DAY(EOMONTH(H$6,0))))&lt;=H$6)*(MOD((YEAR(H$6)-YEAR($F25))*12+MONTH(H$6)-MONTH($F25),3)=0)),IF($D25="One-off",($F25&gt;=H$5)*($F25&lt;=H$6),0))))))</f>
        <v>0</v>
      </c>
      <c r="I25" s="19">
        <f>IF(OR($E25="",$F25="",$D25=""),0,IF(OR($C25="Loan and finance repayments",$C25="VAT and taxes",$C25="Capital expenditure",$C25="Licences and regulatory fees"),1,1+CostAdj)*$E25*IF($D25="Weekly",(MAX(0,INT((I$6-$F25)/7)+1)-MAX(0,INT((I$5-1-$F25)/7)+1)),IF($D25="Fortnightly",(MAX(0,INT((I$6-$F25)/14)+1)-MAX(0,INT((I$5-1-$F25)/14)+1)),IF($D25="Monthly",((DATE(YEAR(I$5),MONTH(I$5),MIN(DAY($F25),DAY(EOMONTH(I$5,0))))&gt;=MAX(I$5,$F25))*(DATE(YEAR(I$5),MONTH(I$5),MIN(DAY($F25),DAY(EOMONTH(I$5,0))))&lt;=I$6)*(MOD((YEAR(I$5)-YEAR($F25))*12+MONTH(I$5)-MONTH($F25),1)=0)+(MONTH(I$6)&lt;&gt;MONTH(I$5))*(DATE(YEAR(I$6),MONTH(I$6),MIN(DAY($F25),DAY(EOMONTH(I$6,0))))&gt;=$F25)*(DATE(YEAR(I$6),MONTH(I$6),MIN(DAY($F25),DAY(EOMONTH(I$6,0))))&gt;=I$5)*(DATE(YEAR(I$6),MONTH(I$6),MIN(DAY($F25),DAY(EOMONTH(I$6,0))))&lt;=I$6)*(MOD((YEAR(I$6)-YEAR($F25))*12+MONTH(I$6)-MONTH($F25),1)=0)),IF($D25="Quarterly",((DATE(YEAR(I$5),MONTH(I$5),MIN(DAY($F25),DAY(EOMONTH(I$5,0))))&gt;=MAX(I$5,$F25))*(DATE(YEAR(I$5),MONTH(I$5),MIN(DAY($F25),DAY(EOMONTH(I$5,0))))&lt;=I$6)*(MOD((YEAR(I$5)-YEAR($F25))*12+MONTH(I$5)-MONTH($F25),3)=0)+(MONTH(I$6)&lt;&gt;MONTH(I$5))*(DATE(YEAR(I$6),MONTH(I$6),MIN(DAY($F25),DAY(EOMONTH(I$6,0))))&gt;=$F25)*(DATE(YEAR(I$6),MONTH(I$6),MIN(DAY($F25),DAY(EOMONTH(I$6,0))))&gt;=I$5)*(DATE(YEAR(I$6),MONTH(I$6),MIN(DAY($F25),DAY(EOMONTH(I$6,0))))&lt;=I$6)*(MOD((YEAR(I$6)-YEAR($F25))*12+MONTH(I$6)-MONTH($F25),3)=0)),IF($D25="One-off",($F25&gt;=I$5)*($F25&lt;=I$6),0))))))</f>
        <v>0</v>
      </c>
      <c r="J25" s="19">
        <f>IF(OR($E25="",$F25="",$D25=""),0,IF(OR($C25="Loan and finance repayments",$C25="VAT and taxes",$C25="Capital expenditure",$C25="Licences and regulatory fees"),1,1+CostAdj)*$E25*IF($D25="Weekly",(MAX(0,INT((J$6-$F25)/7)+1)-MAX(0,INT((J$5-1-$F25)/7)+1)),IF($D25="Fortnightly",(MAX(0,INT((J$6-$F25)/14)+1)-MAX(0,INT((J$5-1-$F25)/14)+1)),IF($D25="Monthly",((DATE(YEAR(J$5),MONTH(J$5),MIN(DAY($F25),DAY(EOMONTH(J$5,0))))&gt;=MAX(J$5,$F25))*(DATE(YEAR(J$5),MONTH(J$5),MIN(DAY($F25),DAY(EOMONTH(J$5,0))))&lt;=J$6)*(MOD((YEAR(J$5)-YEAR($F25))*12+MONTH(J$5)-MONTH($F25),1)=0)+(MONTH(J$6)&lt;&gt;MONTH(J$5))*(DATE(YEAR(J$6),MONTH(J$6),MIN(DAY($F25),DAY(EOMONTH(J$6,0))))&gt;=$F25)*(DATE(YEAR(J$6),MONTH(J$6),MIN(DAY($F25),DAY(EOMONTH(J$6,0))))&gt;=J$5)*(DATE(YEAR(J$6),MONTH(J$6),MIN(DAY($F25),DAY(EOMONTH(J$6,0))))&lt;=J$6)*(MOD((YEAR(J$6)-YEAR($F25))*12+MONTH(J$6)-MONTH($F25),1)=0)),IF($D25="Quarterly",((DATE(YEAR(J$5),MONTH(J$5),MIN(DAY($F25),DAY(EOMONTH(J$5,0))))&gt;=MAX(J$5,$F25))*(DATE(YEAR(J$5),MONTH(J$5),MIN(DAY($F25),DAY(EOMONTH(J$5,0))))&lt;=J$6)*(MOD((YEAR(J$5)-YEAR($F25))*12+MONTH(J$5)-MONTH($F25),3)=0)+(MONTH(J$6)&lt;&gt;MONTH(J$5))*(DATE(YEAR(J$6),MONTH(J$6),MIN(DAY($F25),DAY(EOMONTH(J$6,0))))&gt;=$F25)*(DATE(YEAR(J$6),MONTH(J$6),MIN(DAY($F25),DAY(EOMONTH(J$6,0))))&gt;=J$5)*(DATE(YEAR(J$6),MONTH(J$6),MIN(DAY($F25),DAY(EOMONTH(J$6,0))))&lt;=J$6)*(MOD((YEAR(J$6)-YEAR($F25))*12+MONTH(J$6)-MONTH($F25),3)=0)),IF($D25="One-off",($F25&gt;=J$5)*($F25&lt;=J$6),0))))))</f>
        <v>4200</v>
      </c>
      <c r="K25" s="19">
        <f>IF(OR($E25="",$F25="",$D25=""),0,IF(OR($C25="Loan and finance repayments",$C25="VAT and taxes",$C25="Capital expenditure",$C25="Licences and regulatory fees"),1,1+CostAdj)*$E25*IF($D25="Weekly",(MAX(0,INT((K$6-$F25)/7)+1)-MAX(0,INT((K$5-1-$F25)/7)+1)),IF($D25="Fortnightly",(MAX(0,INT((K$6-$F25)/14)+1)-MAX(0,INT((K$5-1-$F25)/14)+1)),IF($D25="Monthly",((DATE(YEAR(K$5),MONTH(K$5),MIN(DAY($F25),DAY(EOMONTH(K$5,0))))&gt;=MAX(K$5,$F25))*(DATE(YEAR(K$5),MONTH(K$5),MIN(DAY($F25),DAY(EOMONTH(K$5,0))))&lt;=K$6)*(MOD((YEAR(K$5)-YEAR($F25))*12+MONTH(K$5)-MONTH($F25),1)=0)+(MONTH(K$6)&lt;&gt;MONTH(K$5))*(DATE(YEAR(K$6),MONTH(K$6),MIN(DAY($F25),DAY(EOMONTH(K$6,0))))&gt;=$F25)*(DATE(YEAR(K$6),MONTH(K$6),MIN(DAY($F25),DAY(EOMONTH(K$6,0))))&gt;=K$5)*(DATE(YEAR(K$6),MONTH(K$6),MIN(DAY($F25),DAY(EOMONTH(K$6,0))))&lt;=K$6)*(MOD((YEAR(K$6)-YEAR($F25))*12+MONTH(K$6)-MONTH($F25),1)=0)),IF($D25="Quarterly",((DATE(YEAR(K$5),MONTH(K$5),MIN(DAY($F25),DAY(EOMONTH(K$5,0))))&gt;=MAX(K$5,$F25))*(DATE(YEAR(K$5),MONTH(K$5),MIN(DAY($F25),DAY(EOMONTH(K$5,0))))&lt;=K$6)*(MOD((YEAR(K$5)-YEAR($F25))*12+MONTH(K$5)-MONTH($F25),3)=0)+(MONTH(K$6)&lt;&gt;MONTH(K$5))*(DATE(YEAR(K$6),MONTH(K$6),MIN(DAY($F25),DAY(EOMONTH(K$6,0))))&gt;=$F25)*(DATE(YEAR(K$6),MONTH(K$6),MIN(DAY($F25),DAY(EOMONTH(K$6,0))))&gt;=K$5)*(DATE(YEAR(K$6),MONTH(K$6),MIN(DAY($F25),DAY(EOMONTH(K$6,0))))&lt;=K$6)*(MOD((YEAR(K$6)-YEAR($F25))*12+MONTH(K$6)-MONTH($F25),3)=0)),IF($D25="One-off",($F25&gt;=K$5)*($F25&lt;=K$6),0))))))</f>
        <v>0</v>
      </c>
      <c r="L25" s="19">
        <f>IF(OR($E25="",$F25="",$D25=""),0,IF(OR($C25="Loan and finance repayments",$C25="VAT and taxes",$C25="Capital expenditure",$C25="Licences and regulatory fees"),1,1+CostAdj)*$E25*IF($D25="Weekly",(MAX(0,INT((L$6-$F25)/7)+1)-MAX(0,INT((L$5-1-$F25)/7)+1)),IF($D25="Fortnightly",(MAX(0,INT((L$6-$F25)/14)+1)-MAX(0,INT((L$5-1-$F25)/14)+1)),IF($D25="Monthly",((DATE(YEAR(L$5),MONTH(L$5),MIN(DAY($F25),DAY(EOMONTH(L$5,0))))&gt;=MAX(L$5,$F25))*(DATE(YEAR(L$5),MONTH(L$5),MIN(DAY($F25),DAY(EOMONTH(L$5,0))))&lt;=L$6)*(MOD((YEAR(L$5)-YEAR($F25))*12+MONTH(L$5)-MONTH($F25),1)=0)+(MONTH(L$6)&lt;&gt;MONTH(L$5))*(DATE(YEAR(L$6),MONTH(L$6),MIN(DAY($F25),DAY(EOMONTH(L$6,0))))&gt;=$F25)*(DATE(YEAR(L$6),MONTH(L$6),MIN(DAY($F25),DAY(EOMONTH(L$6,0))))&gt;=L$5)*(DATE(YEAR(L$6),MONTH(L$6),MIN(DAY($F25),DAY(EOMONTH(L$6,0))))&lt;=L$6)*(MOD((YEAR(L$6)-YEAR($F25))*12+MONTH(L$6)-MONTH($F25),1)=0)),IF($D25="Quarterly",((DATE(YEAR(L$5),MONTH(L$5),MIN(DAY($F25),DAY(EOMONTH(L$5,0))))&gt;=MAX(L$5,$F25))*(DATE(YEAR(L$5),MONTH(L$5),MIN(DAY($F25),DAY(EOMONTH(L$5,0))))&lt;=L$6)*(MOD((YEAR(L$5)-YEAR($F25))*12+MONTH(L$5)-MONTH($F25),3)=0)+(MONTH(L$6)&lt;&gt;MONTH(L$5))*(DATE(YEAR(L$6),MONTH(L$6),MIN(DAY($F25),DAY(EOMONTH(L$6,0))))&gt;=$F25)*(DATE(YEAR(L$6),MONTH(L$6),MIN(DAY($F25),DAY(EOMONTH(L$6,0))))&gt;=L$5)*(DATE(YEAR(L$6),MONTH(L$6),MIN(DAY($F25),DAY(EOMONTH(L$6,0))))&lt;=L$6)*(MOD((YEAR(L$6)-YEAR($F25))*12+MONTH(L$6)-MONTH($F25),3)=0)),IF($D25="One-off",($F25&gt;=L$5)*($F25&lt;=L$6),0))))))</f>
        <v>0</v>
      </c>
      <c r="M25" s="19">
        <f>IF(OR($E25="",$F25="",$D25=""),0,IF(OR($C25="Loan and finance repayments",$C25="VAT and taxes",$C25="Capital expenditure",$C25="Licences and regulatory fees"),1,1+CostAdj)*$E25*IF($D25="Weekly",(MAX(0,INT((M$6-$F25)/7)+1)-MAX(0,INT((M$5-1-$F25)/7)+1)),IF($D25="Fortnightly",(MAX(0,INT((M$6-$F25)/14)+1)-MAX(0,INT((M$5-1-$F25)/14)+1)),IF($D25="Monthly",((DATE(YEAR(M$5),MONTH(M$5),MIN(DAY($F25),DAY(EOMONTH(M$5,0))))&gt;=MAX(M$5,$F25))*(DATE(YEAR(M$5),MONTH(M$5),MIN(DAY($F25),DAY(EOMONTH(M$5,0))))&lt;=M$6)*(MOD((YEAR(M$5)-YEAR($F25))*12+MONTH(M$5)-MONTH($F25),1)=0)+(MONTH(M$6)&lt;&gt;MONTH(M$5))*(DATE(YEAR(M$6),MONTH(M$6),MIN(DAY($F25),DAY(EOMONTH(M$6,0))))&gt;=$F25)*(DATE(YEAR(M$6),MONTH(M$6),MIN(DAY($F25),DAY(EOMONTH(M$6,0))))&gt;=M$5)*(DATE(YEAR(M$6),MONTH(M$6),MIN(DAY($F25),DAY(EOMONTH(M$6,0))))&lt;=M$6)*(MOD((YEAR(M$6)-YEAR($F25))*12+MONTH(M$6)-MONTH($F25),1)=0)),IF($D25="Quarterly",((DATE(YEAR(M$5),MONTH(M$5),MIN(DAY($F25),DAY(EOMONTH(M$5,0))))&gt;=MAX(M$5,$F25))*(DATE(YEAR(M$5),MONTH(M$5),MIN(DAY($F25),DAY(EOMONTH(M$5,0))))&lt;=M$6)*(MOD((YEAR(M$5)-YEAR($F25))*12+MONTH(M$5)-MONTH($F25),3)=0)+(MONTH(M$6)&lt;&gt;MONTH(M$5))*(DATE(YEAR(M$6),MONTH(M$6),MIN(DAY($F25),DAY(EOMONTH(M$6,0))))&gt;=$F25)*(DATE(YEAR(M$6),MONTH(M$6),MIN(DAY($F25),DAY(EOMONTH(M$6,0))))&gt;=M$5)*(DATE(YEAR(M$6),MONTH(M$6),MIN(DAY($F25),DAY(EOMONTH(M$6,0))))&lt;=M$6)*(MOD((YEAR(M$6)-YEAR($F25))*12+MONTH(M$6)-MONTH($F25),3)=0)),IF($D25="One-off",($F25&gt;=M$5)*($F25&lt;=M$6),0))))))</f>
        <v>0</v>
      </c>
      <c r="N25" s="19">
        <f>IF(OR($E25="",$F25="",$D25=""),0,IF(OR($C25="Loan and finance repayments",$C25="VAT and taxes",$C25="Capital expenditure",$C25="Licences and regulatory fees"),1,1+CostAdj)*$E25*IF($D25="Weekly",(MAX(0,INT((N$6-$F25)/7)+1)-MAX(0,INT((N$5-1-$F25)/7)+1)),IF($D25="Fortnightly",(MAX(0,INT((N$6-$F25)/14)+1)-MAX(0,INT((N$5-1-$F25)/14)+1)),IF($D25="Monthly",((DATE(YEAR(N$5),MONTH(N$5),MIN(DAY($F25),DAY(EOMONTH(N$5,0))))&gt;=MAX(N$5,$F25))*(DATE(YEAR(N$5),MONTH(N$5),MIN(DAY($F25),DAY(EOMONTH(N$5,0))))&lt;=N$6)*(MOD((YEAR(N$5)-YEAR($F25))*12+MONTH(N$5)-MONTH($F25),1)=0)+(MONTH(N$6)&lt;&gt;MONTH(N$5))*(DATE(YEAR(N$6),MONTH(N$6),MIN(DAY($F25),DAY(EOMONTH(N$6,0))))&gt;=$F25)*(DATE(YEAR(N$6),MONTH(N$6),MIN(DAY($F25),DAY(EOMONTH(N$6,0))))&gt;=N$5)*(DATE(YEAR(N$6),MONTH(N$6),MIN(DAY($F25),DAY(EOMONTH(N$6,0))))&lt;=N$6)*(MOD((YEAR(N$6)-YEAR($F25))*12+MONTH(N$6)-MONTH($F25),1)=0)),IF($D25="Quarterly",((DATE(YEAR(N$5),MONTH(N$5),MIN(DAY($F25),DAY(EOMONTH(N$5,0))))&gt;=MAX(N$5,$F25))*(DATE(YEAR(N$5),MONTH(N$5),MIN(DAY($F25),DAY(EOMONTH(N$5,0))))&lt;=N$6)*(MOD((YEAR(N$5)-YEAR($F25))*12+MONTH(N$5)-MONTH($F25),3)=0)+(MONTH(N$6)&lt;&gt;MONTH(N$5))*(DATE(YEAR(N$6),MONTH(N$6),MIN(DAY($F25),DAY(EOMONTH(N$6,0))))&gt;=$F25)*(DATE(YEAR(N$6),MONTH(N$6),MIN(DAY($F25),DAY(EOMONTH(N$6,0))))&gt;=N$5)*(DATE(YEAR(N$6),MONTH(N$6),MIN(DAY($F25),DAY(EOMONTH(N$6,0))))&lt;=N$6)*(MOD((YEAR(N$6)-YEAR($F25))*12+MONTH(N$6)-MONTH($F25),3)=0)),IF($D25="One-off",($F25&gt;=N$5)*($F25&lt;=N$6),0))))))</f>
        <v>4200</v>
      </c>
      <c r="O25" s="19">
        <f>IF(OR($E25="",$F25="",$D25=""),0,IF(OR($C25="Loan and finance repayments",$C25="VAT and taxes",$C25="Capital expenditure",$C25="Licences and regulatory fees"),1,1+CostAdj)*$E25*IF($D25="Weekly",(MAX(0,INT((O$6-$F25)/7)+1)-MAX(0,INT((O$5-1-$F25)/7)+1)),IF($D25="Fortnightly",(MAX(0,INT((O$6-$F25)/14)+1)-MAX(0,INT((O$5-1-$F25)/14)+1)),IF($D25="Monthly",((DATE(YEAR(O$5),MONTH(O$5),MIN(DAY($F25),DAY(EOMONTH(O$5,0))))&gt;=MAX(O$5,$F25))*(DATE(YEAR(O$5),MONTH(O$5),MIN(DAY($F25),DAY(EOMONTH(O$5,0))))&lt;=O$6)*(MOD((YEAR(O$5)-YEAR($F25))*12+MONTH(O$5)-MONTH($F25),1)=0)+(MONTH(O$6)&lt;&gt;MONTH(O$5))*(DATE(YEAR(O$6),MONTH(O$6),MIN(DAY($F25),DAY(EOMONTH(O$6,0))))&gt;=$F25)*(DATE(YEAR(O$6),MONTH(O$6),MIN(DAY($F25),DAY(EOMONTH(O$6,0))))&gt;=O$5)*(DATE(YEAR(O$6),MONTH(O$6),MIN(DAY($F25),DAY(EOMONTH(O$6,0))))&lt;=O$6)*(MOD((YEAR(O$6)-YEAR($F25))*12+MONTH(O$6)-MONTH($F25),1)=0)),IF($D25="Quarterly",((DATE(YEAR(O$5),MONTH(O$5),MIN(DAY($F25),DAY(EOMONTH(O$5,0))))&gt;=MAX(O$5,$F25))*(DATE(YEAR(O$5),MONTH(O$5),MIN(DAY($F25),DAY(EOMONTH(O$5,0))))&lt;=O$6)*(MOD((YEAR(O$5)-YEAR($F25))*12+MONTH(O$5)-MONTH($F25),3)=0)+(MONTH(O$6)&lt;&gt;MONTH(O$5))*(DATE(YEAR(O$6),MONTH(O$6),MIN(DAY($F25),DAY(EOMONTH(O$6,0))))&gt;=$F25)*(DATE(YEAR(O$6),MONTH(O$6),MIN(DAY($F25),DAY(EOMONTH(O$6,0))))&gt;=O$5)*(DATE(YEAR(O$6),MONTH(O$6),MIN(DAY($F25),DAY(EOMONTH(O$6,0))))&lt;=O$6)*(MOD((YEAR(O$6)-YEAR($F25))*12+MONTH(O$6)-MONTH($F25),3)=0)),IF($D25="One-off",($F25&gt;=O$5)*($F25&lt;=O$6),0))))))</f>
        <v>0</v>
      </c>
      <c r="P25" s="19">
        <f>IF(OR($E25="",$F25="",$D25=""),0,IF(OR($C25="Loan and finance repayments",$C25="VAT and taxes",$C25="Capital expenditure",$C25="Licences and regulatory fees"),1,1+CostAdj)*$E25*IF($D25="Weekly",(MAX(0,INT((P$6-$F25)/7)+1)-MAX(0,INT((P$5-1-$F25)/7)+1)),IF($D25="Fortnightly",(MAX(0,INT((P$6-$F25)/14)+1)-MAX(0,INT((P$5-1-$F25)/14)+1)),IF($D25="Monthly",((DATE(YEAR(P$5),MONTH(P$5),MIN(DAY($F25),DAY(EOMONTH(P$5,0))))&gt;=MAX(P$5,$F25))*(DATE(YEAR(P$5),MONTH(P$5),MIN(DAY($F25),DAY(EOMONTH(P$5,0))))&lt;=P$6)*(MOD((YEAR(P$5)-YEAR($F25))*12+MONTH(P$5)-MONTH($F25),1)=0)+(MONTH(P$6)&lt;&gt;MONTH(P$5))*(DATE(YEAR(P$6),MONTH(P$6),MIN(DAY($F25),DAY(EOMONTH(P$6,0))))&gt;=$F25)*(DATE(YEAR(P$6),MONTH(P$6),MIN(DAY($F25),DAY(EOMONTH(P$6,0))))&gt;=P$5)*(DATE(YEAR(P$6),MONTH(P$6),MIN(DAY($F25),DAY(EOMONTH(P$6,0))))&lt;=P$6)*(MOD((YEAR(P$6)-YEAR($F25))*12+MONTH(P$6)-MONTH($F25),1)=0)),IF($D25="Quarterly",((DATE(YEAR(P$5),MONTH(P$5),MIN(DAY($F25),DAY(EOMONTH(P$5,0))))&gt;=MAX(P$5,$F25))*(DATE(YEAR(P$5),MONTH(P$5),MIN(DAY($F25),DAY(EOMONTH(P$5,0))))&lt;=P$6)*(MOD((YEAR(P$5)-YEAR($F25))*12+MONTH(P$5)-MONTH($F25),3)=0)+(MONTH(P$6)&lt;&gt;MONTH(P$5))*(DATE(YEAR(P$6),MONTH(P$6),MIN(DAY($F25),DAY(EOMONTH(P$6,0))))&gt;=$F25)*(DATE(YEAR(P$6),MONTH(P$6),MIN(DAY($F25),DAY(EOMONTH(P$6,0))))&gt;=P$5)*(DATE(YEAR(P$6),MONTH(P$6),MIN(DAY($F25),DAY(EOMONTH(P$6,0))))&lt;=P$6)*(MOD((YEAR(P$6)-YEAR($F25))*12+MONTH(P$6)-MONTH($F25),3)=0)),IF($D25="One-off",($F25&gt;=P$5)*($F25&lt;=P$6),0))))))</f>
        <v>0</v>
      </c>
      <c r="Q25" s="19">
        <f>IF(OR($E25="",$F25="",$D25=""),0,IF(OR($C25="Loan and finance repayments",$C25="VAT and taxes",$C25="Capital expenditure",$C25="Licences and regulatory fees"),1,1+CostAdj)*$E25*IF($D25="Weekly",(MAX(0,INT((Q$6-$F25)/7)+1)-MAX(0,INT((Q$5-1-$F25)/7)+1)),IF($D25="Fortnightly",(MAX(0,INT((Q$6-$F25)/14)+1)-MAX(0,INT((Q$5-1-$F25)/14)+1)),IF($D25="Monthly",((DATE(YEAR(Q$5),MONTH(Q$5),MIN(DAY($F25),DAY(EOMONTH(Q$5,0))))&gt;=MAX(Q$5,$F25))*(DATE(YEAR(Q$5),MONTH(Q$5),MIN(DAY($F25),DAY(EOMONTH(Q$5,0))))&lt;=Q$6)*(MOD((YEAR(Q$5)-YEAR($F25))*12+MONTH(Q$5)-MONTH($F25),1)=0)+(MONTH(Q$6)&lt;&gt;MONTH(Q$5))*(DATE(YEAR(Q$6),MONTH(Q$6),MIN(DAY($F25),DAY(EOMONTH(Q$6,0))))&gt;=$F25)*(DATE(YEAR(Q$6),MONTH(Q$6),MIN(DAY($F25),DAY(EOMONTH(Q$6,0))))&gt;=Q$5)*(DATE(YEAR(Q$6),MONTH(Q$6),MIN(DAY($F25),DAY(EOMONTH(Q$6,0))))&lt;=Q$6)*(MOD((YEAR(Q$6)-YEAR($F25))*12+MONTH(Q$6)-MONTH($F25),1)=0)),IF($D25="Quarterly",((DATE(YEAR(Q$5),MONTH(Q$5),MIN(DAY($F25),DAY(EOMONTH(Q$5,0))))&gt;=MAX(Q$5,$F25))*(DATE(YEAR(Q$5),MONTH(Q$5),MIN(DAY($F25),DAY(EOMONTH(Q$5,0))))&lt;=Q$6)*(MOD((YEAR(Q$5)-YEAR($F25))*12+MONTH(Q$5)-MONTH($F25),3)=0)+(MONTH(Q$6)&lt;&gt;MONTH(Q$5))*(DATE(YEAR(Q$6),MONTH(Q$6),MIN(DAY($F25),DAY(EOMONTH(Q$6,0))))&gt;=$F25)*(DATE(YEAR(Q$6),MONTH(Q$6),MIN(DAY($F25),DAY(EOMONTH(Q$6,0))))&gt;=Q$5)*(DATE(YEAR(Q$6),MONTH(Q$6),MIN(DAY($F25),DAY(EOMONTH(Q$6,0))))&lt;=Q$6)*(MOD((YEAR(Q$6)-YEAR($F25))*12+MONTH(Q$6)-MONTH($F25),3)=0)),IF($D25="One-off",($F25&gt;=Q$5)*($F25&lt;=Q$6),0))))))</f>
        <v>0</v>
      </c>
      <c r="R25" s="19">
        <f>IF(OR($E25="",$F25="",$D25=""),0,IF(OR($C25="Loan and finance repayments",$C25="VAT and taxes",$C25="Capital expenditure",$C25="Licences and regulatory fees"),1,1+CostAdj)*$E25*IF($D25="Weekly",(MAX(0,INT((R$6-$F25)/7)+1)-MAX(0,INT((R$5-1-$F25)/7)+1)),IF($D25="Fortnightly",(MAX(0,INT((R$6-$F25)/14)+1)-MAX(0,INT((R$5-1-$F25)/14)+1)),IF($D25="Monthly",((DATE(YEAR(R$5),MONTH(R$5),MIN(DAY($F25),DAY(EOMONTH(R$5,0))))&gt;=MAX(R$5,$F25))*(DATE(YEAR(R$5),MONTH(R$5),MIN(DAY($F25),DAY(EOMONTH(R$5,0))))&lt;=R$6)*(MOD((YEAR(R$5)-YEAR($F25))*12+MONTH(R$5)-MONTH($F25),1)=0)+(MONTH(R$6)&lt;&gt;MONTH(R$5))*(DATE(YEAR(R$6),MONTH(R$6),MIN(DAY($F25),DAY(EOMONTH(R$6,0))))&gt;=$F25)*(DATE(YEAR(R$6),MONTH(R$6),MIN(DAY($F25),DAY(EOMONTH(R$6,0))))&gt;=R$5)*(DATE(YEAR(R$6),MONTH(R$6),MIN(DAY($F25),DAY(EOMONTH(R$6,0))))&lt;=R$6)*(MOD((YEAR(R$6)-YEAR($F25))*12+MONTH(R$6)-MONTH($F25),1)=0)),IF($D25="Quarterly",((DATE(YEAR(R$5),MONTH(R$5),MIN(DAY($F25),DAY(EOMONTH(R$5,0))))&gt;=MAX(R$5,$F25))*(DATE(YEAR(R$5),MONTH(R$5),MIN(DAY($F25),DAY(EOMONTH(R$5,0))))&lt;=R$6)*(MOD((YEAR(R$5)-YEAR($F25))*12+MONTH(R$5)-MONTH($F25),3)=0)+(MONTH(R$6)&lt;&gt;MONTH(R$5))*(DATE(YEAR(R$6),MONTH(R$6),MIN(DAY($F25),DAY(EOMONTH(R$6,0))))&gt;=$F25)*(DATE(YEAR(R$6),MONTH(R$6),MIN(DAY($F25),DAY(EOMONTH(R$6,0))))&gt;=R$5)*(DATE(YEAR(R$6),MONTH(R$6),MIN(DAY($F25),DAY(EOMONTH(R$6,0))))&lt;=R$6)*(MOD((YEAR(R$6)-YEAR($F25))*12+MONTH(R$6)-MONTH($F25),3)=0)),IF($D25="One-off",($F25&gt;=R$5)*($F25&lt;=R$6),0))))))</f>
        <v>0</v>
      </c>
      <c r="S25" s="19">
        <f>IF(OR($E25="",$F25="",$D25=""),0,IF(OR($C25="Loan and finance repayments",$C25="VAT and taxes",$C25="Capital expenditure",$C25="Licences and regulatory fees"),1,1+CostAdj)*$E25*IF($D25="Weekly",(MAX(0,INT((S$6-$F25)/7)+1)-MAX(0,INT((S$5-1-$F25)/7)+1)),IF($D25="Fortnightly",(MAX(0,INT((S$6-$F25)/14)+1)-MAX(0,INT((S$5-1-$F25)/14)+1)),IF($D25="Monthly",((DATE(YEAR(S$5),MONTH(S$5),MIN(DAY($F25),DAY(EOMONTH(S$5,0))))&gt;=MAX(S$5,$F25))*(DATE(YEAR(S$5),MONTH(S$5),MIN(DAY($F25),DAY(EOMONTH(S$5,0))))&lt;=S$6)*(MOD((YEAR(S$5)-YEAR($F25))*12+MONTH(S$5)-MONTH($F25),1)=0)+(MONTH(S$6)&lt;&gt;MONTH(S$5))*(DATE(YEAR(S$6),MONTH(S$6),MIN(DAY($F25),DAY(EOMONTH(S$6,0))))&gt;=$F25)*(DATE(YEAR(S$6),MONTH(S$6),MIN(DAY($F25),DAY(EOMONTH(S$6,0))))&gt;=S$5)*(DATE(YEAR(S$6),MONTH(S$6),MIN(DAY($F25),DAY(EOMONTH(S$6,0))))&lt;=S$6)*(MOD((YEAR(S$6)-YEAR($F25))*12+MONTH(S$6)-MONTH($F25),1)=0)),IF($D25="Quarterly",((DATE(YEAR(S$5),MONTH(S$5),MIN(DAY($F25),DAY(EOMONTH(S$5,0))))&gt;=MAX(S$5,$F25))*(DATE(YEAR(S$5),MONTH(S$5),MIN(DAY($F25),DAY(EOMONTH(S$5,0))))&lt;=S$6)*(MOD((YEAR(S$5)-YEAR($F25))*12+MONTH(S$5)-MONTH($F25),3)=0)+(MONTH(S$6)&lt;&gt;MONTH(S$5))*(DATE(YEAR(S$6),MONTH(S$6),MIN(DAY($F25),DAY(EOMONTH(S$6,0))))&gt;=$F25)*(DATE(YEAR(S$6),MONTH(S$6),MIN(DAY($F25),DAY(EOMONTH(S$6,0))))&gt;=S$5)*(DATE(YEAR(S$6),MONTH(S$6),MIN(DAY($F25),DAY(EOMONTH(S$6,0))))&lt;=S$6)*(MOD((YEAR(S$6)-YEAR($F25))*12+MONTH(S$6)-MONTH($F25),3)=0)),IF($D25="One-off",($F25&gt;=S$5)*($F25&lt;=S$6),0))))))</f>
        <v>4200</v>
      </c>
      <c r="T25" s="19">
        <f>IF(OR($E25="",$F25="",$D25=""),0,IF(OR($C25="Loan and finance repayments",$C25="VAT and taxes",$C25="Capital expenditure",$C25="Licences and regulatory fees"),1,1+CostAdj)*$E25*IF($D25="Weekly",(MAX(0,INT((T$6-$F25)/7)+1)-MAX(0,INT((T$5-1-$F25)/7)+1)),IF($D25="Fortnightly",(MAX(0,INT((T$6-$F25)/14)+1)-MAX(0,INT((T$5-1-$F25)/14)+1)),IF($D25="Monthly",((DATE(YEAR(T$5),MONTH(T$5),MIN(DAY($F25),DAY(EOMONTH(T$5,0))))&gt;=MAX(T$5,$F25))*(DATE(YEAR(T$5),MONTH(T$5),MIN(DAY($F25),DAY(EOMONTH(T$5,0))))&lt;=T$6)*(MOD((YEAR(T$5)-YEAR($F25))*12+MONTH(T$5)-MONTH($F25),1)=0)+(MONTH(T$6)&lt;&gt;MONTH(T$5))*(DATE(YEAR(T$6),MONTH(T$6),MIN(DAY($F25),DAY(EOMONTH(T$6,0))))&gt;=$F25)*(DATE(YEAR(T$6),MONTH(T$6),MIN(DAY($F25),DAY(EOMONTH(T$6,0))))&gt;=T$5)*(DATE(YEAR(T$6),MONTH(T$6),MIN(DAY($F25),DAY(EOMONTH(T$6,0))))&lt;=T$6)*(MOD((YEAR(T$6)-YEAR($F25))*12+MONTH(T$6)-MONTH($F25),1)=0)),IF($D25="Quarterly",((DATE(YEAR(T$5),MONTH(T$5),MIN(DAY($F25),DAY(EOMONTH(T$5,0))))&gt;=MAX(T$5,$F25))*(DATE(YEAR(T$5),MONTH(T$5),MIN(DAY($F25),DAY(EOMONTH(T$5,0))))&lt;=T$6)*(MOD((YEAR(T$5)-YEAR($F25))*12+MONTH(T$5)-MONTH($F25),3)=0)+(MONTH(T$6)&lt;&gt;MONTH(T$5))*(DATE(YEAR(T$6),MONTH(T$6),MIN(DAY($F25),DAY(EOMONTH(T$6,0))))&gt;=$F25)*(DATE(YEAR(T$6),MONTH(T$6),MIN(DAY($F25),DAY(EOMONTH(T$6,0))))&gt;=T$5)*(DATE(YEAR(T$6),MONTH(T$6),MIN(DAY($F25),DAY(EOMONTH(T$6,0))))&lt;=T$6)*(MOD((YEAR(T$6)-YEAR($F25))*12+MONTH(T$6)-MONTH($F25),3)=0)),IF($D25="One-off",($F25&gt;=T$5)*($F25&lt;=T$6),0))))))</f>
        <v>0</v>
      </c>
      <c r="U25" s="36">
        <f>SUM(H25:T25)</f>
        <v>12600</v>
      </c>
    </row>
    <row r="26" spans="1:21">
      <c r="A26" s="42">
        <v>18</v>
      </c>
      <c r="B26" s="7"/>
      <c r="C26" s="7"/>
      <c r="D26" s="7"/>
      <c r="E26" s="18"/>
      <c r="F26" s="17"/>
      <c r="G26" s="7"/>
      <c r="H26" s="19">
        <f>IF(OR($E26="",$F26="",$D26=""),0,IF(OR($C26="Loan and finance repayments",$C26="VAT and taxes",$C26="Capital expenditure",$C26="Licences and regulatory fees"),1,1+CostAdj)*$E26*IF($D26="Weekly",(MAX(0,INT((H$6-$F26)/7)+1)-MAX(0,INT((H$5-1-$F26)/7)+1)),IF($D26="Fortnightly",(MAX(0,INT((H$6-$F26)/14)+1)-MAX(0,INT((H$5-1-$F26)/14)+1)),IF($D26="Monthly",((DATE(YEAR(H$5),MONTH(H$5),MIN(DAY($F26),DAY(EOMONTH(H$5,0))))&gt;=MAX(H$5,$F26))*(DATE(YEAR(H$5),MONTH(H$5),MIN(DAY($F26),DAY(EOMONTH(H$5,0))))&lt;=H$6)*(MOD((YEAR(H$5)-YEAR($F26))*12+MONTH(H$5)-MONTH($F26),1)=0)+(MONTH(H$6)&lt;&gt;MONTH(H$5))*(DATE(YEAR(H$6),MONTH(H$6),MIN(DAY($F26),DAY(EOMONTH(H$6,0))))&gt;=$F26)*(DATE(YEAR(H$6),MONTH(H$6),MIN(DAY($F26),DAY(EOMONTH(H$6,0))))&gt;=H$5)*(DATE(YEAR(H$6),MONTH(H$6),MIN(DAY($F26),DAY(EOMONTH(H$6,0))))&lt;=H$6)*(MOD((YEAR(H$6)-YEAR($F26))*12+MONTH(H$6)-MONTH($F26),1)=0)),IF($D26="Quarterly",((DATE(YEAR(H$5),MONTH(H$5),MIN(DAY($F26),DAY(EOMONTH(H$5,0))))&gt;=MAX(H$5,$F26))*(DATE(YEAR(H$5),MONTH(H$5),MIN(DAY($F26),DAY(EOMONTH(H$5,0))))&lt;=H$6)*(MOD((YEAR(H$5)-YEAR($F26))*12+MONTH(H$5)-MONTH($F26),3)=0)+(MONTH(H$6)&lt;&gt;MONTH(H$5))*(DATE(YEAR(H$6),MONTH(H$6),MIN(DAY($F26),DAY(EOMONTH(H$6,0))))&gt;=$F26)*(DATE(YEAR(H$6),MONTH(H$6),MIN(DAY($F26),DAY(EOMONTH(H$6,0))))&gt;=H$5)*(DATE(YEAR(H$6),MONTH(H$6),MIN(DAY($F26),DAY(EOMONTH(H$6,0))))&lt;=H$6)*(MOD((YEAR(H$6)-YEAR($F26))*12+MONTH(H$6)-MONTH($F26),3)=0)),IF($D26="One-off",($F26&gt;=H$5)*($F26&lt;=H$6),0))))))</f>
        <v>0</v>
      </c>
      <c r="I26" s="19">
        <f>IF(OR($E26="",$F26="",$D26=""),0,IF(OR($C26="Loan and finance repayments",$C26="VAT and taxes",$C26="Capital expenditure",$C26="Licences and regulatory fees"),1,1+CostAdj)*$E26*IF($D26="Weekly",(MAX(0,INT((I$6-$F26)/7)+1)-MAX(0,INT((I$5-1-$F26)/7)+1)),IF($D26="Fortnightly",(MAX(0,INT((I$6-$F26)/14)+1)-MAX(0,INT((I$5-1-$F26)/14)+1)),IF($D26="Monthly",((DATE(YEAR(I$5),MONTH(I$5),MIN(DAY($F26),DAY(EOMONTH(I$5,0))))&gt;=MAX(I$5,$F26))*(DATE(YEAR(I$5),MONTH(I$5),MIN(DAY($F26),DAY(EOMONTH(I$5,0))))&lt;=I$6)*(MOD((YEAR(I$5)-YEAR($F26))*12+MONTH(I$5)-MONTH($F26),1)=0)+(MONTH(I$6)&lt;&gt;MONTH(I$5))*(DATE(YEAR(I$6),MONTH(I$6),MIN(DAY($F26),DAY(EOMONTH(I$6,0))))&gt;=$F26)*(DATE(YEAR(I$6),MONTH(I$6),MIN(DAY($F26),DAY(EOMONTH(I$6,0))))&gt;=I$5)*(DATE(YEAR(I$6),MONTH(I$6),MIN(DAY($F26),DAY(EOMONTH(I$6,0))))&lt;=I$6)*(MOD((YEAR(I$6)-YEAR($F26))*12+MONTH(I$6)-MONTH($F26),1)=0)),IF($D26="Quarterly",((DATE(YEAR(I$5),MONTH(I$5),MIN(DAY($F26),DAY(EOMONTH(I$5,0))))&gt;=MAX(I$5,$F26))*(DATE(YEAR(I$5),MONTH(I$5),MIN(DAY($F26),DAY(EOMONTH(I$5,0))))&lt;=I$6)*(MOD((YEAR(I$5)-YEAR($F26))*12+MONTH(I$5)-MONTH($F26),3)=0)+(MONTH(I$6)&lt;&gt;MONTH(I$5))*(DATE(YEAR(I$6),MONTH(I$6),MIN(DAY($F26),DAY(EOMONTH(I$6,0))))&gt;=$F26)*(DATE(YEAR(I$6),MONTH(I$6),MIN(DAY($F26),DAY(EOMONTH(I$6,0))))&gt;=I$5)*(DATE(YEAR(I$6),MONTH(I$6),MIN(DAY($F26),DAY(EOMONTH(I$6,0))))&lt;=I$6)*(MOD((YEAR(I$6)-YEAR($F26))*12+MONTH(I$6)-MONTH($F26),3)=0)),IF($D26="One-off",($F26&gt;=I$5)*($F26&lt;=I$6),0))))))</f>
        <v>0</v>
      </c>
      <c r="J26" s="19">
        <f>IF(OR($E26="",$F26="",$D26=""),0,IF(OR($C26="Loan and finance repayments",$C26="VAT and taxes",$C26="Capital expenditure",$C26="Licences and regulatory fees"),1,1+CostAdj)*$E26*IF($D26="Weekly",(MAX(0,INT((J$6-$F26)/7)+1)-MAX(0,INT((J$5-1-$F26)/7)+1)),IF($D26="Fortnightly",(MAX(0,INT((J$6-$F26)/14)+1)-MAX(0,INT((J$5-1-$F26)/14)+1)),IF($D26="Monthly",((DATE(YEAR(J$5),MONTH(J$5),MIN(DAY($F26),DAY(EOMONTH(J$5,0))))&gt;=MAX(J$5,$F26))*(DATE(YEAR(J$5),MONTH(J$5),MIN(DAY($F26),DAY(EOMONTH(J$5,0))))&lt;=J$6)*(MOD((YEAR(J$5)-YEAR($F26))*12+MONTH(J$5)-MONTH($F26),1)=0)+(MONTH(J$6)&lt;&gt;MONTH(J$5))*(DATE(YEAR(J$6),MONTH(J$6),MIN(DAY($F26),DAY(EOMONTH(J$6,0))))&gt;=$F26)*(DATE(YEAR(J$6),MONTH(J$6),MIN(DAY($F26),DAY(EOMONTH(J$6,0))))&gt;=J$5)*(DATE(YEAR(J$6),MONTH(J$6),MIN(DAY($F26),DAY(EOMONTH(J$6,0))))&lt;=J$6)*(MOD((YEAR(J$6)-YEAR($F26))*12+MONTH(J$6)-MONTH($F26),1)=0)),IF($D26="Quarterly",((DATE(YEAR(J$5),MONTH(J$5),MIN(DAY($F26),DAY(EOMONTH(J$5,0))))&gt;=MAX(J$5,$F26))*(DATE(YEAR(J$5),MONTH(J$5),MIN(DAY($F26),DAY(EOMONTH(J$5,0))))&lt;=J$6)*(MOD((YEAR(J$5)-YEAR($F26))*12+MONTH(J$5)-MONTH($F26),3)=0)+(MONTH(J$6)&lt;&gt;MONTH(J$5))*(DATE(YEAR(J$6),MONTH(J$6),MIN(DAY($F26),DAY(EOMONTH(J$6,0))))&gt;=$F26)*(DATE(YEAR(J$6),MONTH(J$6),MIN(DAY($F26),DAY(EOMONTH(J$6,0))))&gt;=J$5)*(DATE(YEAR(J$6),MONTH(J$6),MIN(DAY($F26),DAY(EOMONTH(J$6,0))))&lt;=J$6)*(MOD((YEAR(J$6)-YEAR($F26))*12+MONTH(J$6)-MONTH($F26),3)=0)),IF($D26="One-off",($F26&gt;=J$5)*($F26&lt;=J$6),0))))))</f>
        <v>0</v>
      </c>
      <c r="K26" s="19">
        <f>IF(OR($E26="",$F26="",$D26=""),0,IF(OR($C26="Loan and finance repayments",$C26="VAT and taxes",$C26="Capital expenditure",$C26="Licences and regulatory fees"),1,1+CostAdj)*$E26*IF($D26="Weekly",(MAX(0,INT((K$6-$F26)/7)+1)-MAX(0,INT((K$5-1-$F26)/7)+1)),IF($D26="Fortnightly",(MAX(0,INT((K$6-$F26)/14)+1)-MAX(0,INT((K$5-1-$F26)/14)+1)),IF($D26="Monthly",((DATE(YEAR(K$5),MONTH(K$5),MIN(DAY($F26),DAY(EOMONTH(K$5,0))))&gt;=MAX(K$5,$F26))*(DATE(YEAR(K$5),MONTH(K$5),MIN(DAY($F26),DAY(EOMONTH(K$5,0))))&lt;=K$6)*(MOD((YEAR(K$5)-YEAR($F26))*12+MONTH(K$5)-MONTH($F26),1)=0)+(MONTH(K$6)&lt;&gt;MONTH(K$5))*(DATE(YEAR(K$6),MONTH(K$6),MIN(DAY($F26),DAY(EOMONTH(K$6,0))))&gt;=$F26)*(DATE(YEAR(K$6),MONTH(K$6),MIN(DAY($F26),DAY(EOMONTH(K$6,0))))&gt;=K$5)*(DATE(YEAR(K$6),MONTH(K$6),MIN(DAY($F26),DAY(EOMONTH(K$6,0))))&lt;=K$6)*(MOD((YEAR(K$6)-YEAR($F26))*12+MONTH(K$6)-MONTH($F26),1)=0)),IF($D26="Quarterly",((DATE(YEAR(K$5),MONTH(K$5),MIN(DAY($F26),DAY(EOMONTH(K$5,0))))&gt;=MAX(K$5,$F26))*(DATE(YEAR(K$5),MONTH(K$5),MIN(DAY($F26),DAY(EOMONTH(K$5,0))))&lt;=K$6)*(MOD((YEAR(K$5)-YEAR($F26))*12+MONTH(K$5)-MONTH($F26),3)=0)+(MONTH(K$6)&lt;&gt;MONTH(K$5))*(DATE(YEAR(K$6),MONTH(K$6),MIN(DAY($F26),DAY(EOMONTH(K$6,0))))&gt;=$F26)*(DATE(YEAR(K$6),MONTH(K$6),MIN(DAY($F26),DAY(EOMONTH(K$6,0))))&gt;=K$5)*(DATE(YEAR(K$6),MONTH(K$6),MIN(DAY($F26),DAY(EOMONTH(K$6,0))))&lt;=K$6)*(MOD((YEAR(K$6)-YEAR($F26))*12+MONTH(K$6)-MONTH($F26),3)=0)),IF($D26="One-off",($F26&gt;=K$5)*($F26&lt;=K$6),0))))))</f>
        <v>0</v>
      </c>
      <c r="L26" s="19">
        <f>IF(OR($E26="",$F26="",$D26=""),0,IF(OR($C26="Loan and finance repayments",$C26="VAT and taxes",$C26="Capital expenditure",$C26="Licences and regulatory fees"),1,1+CostAdj)*$E26*IF($D26="Weekly",(MAX(0,INT((L$6-$F26)/7)+1)-MAX(0,INT((L$5-1-$F26)/7)+1)),IF($D26="Fortnightly",(MAX(0,INT((L$6-$F26)/14)+1)-MAX(0,INT((L$5-1-$F26)/14)+1)),IF($D26="Monthly",((DATE(YEAR(L$5),MONTH(L$5),MIN(DAY($F26),DAY(EOMONTH(L$5,0))))&gt;=MAX(L$5,$F26))*(DATE(YEAR(L$5),MONTH(L$5),MIN(DAY($F26),DAY(EOMONTH(L$5,0))))&lt;=L$6)*(MOD((YEAR(L$5)-YEAR($F26))*12+MONTH(L$5)-MONTH($F26),1)=0)+(MONTH(L$6)&lt;&gt;MONTH(L$5))*(DATE(YEAR(L$6),MONTH(L$6),MIN(DAY($F26),DAY(EOMONTH(L$6,0))))&gt;=$F26)*(DATE(YEAR(L$6),MONTH(L$6),MIN(DAY($F26),DAY(EOMONTH(L$6,0))))&gt;=L$5)*(DATE(YEAR(L$6),MONTH(L$6),MIN(DAY($F26),DAY(EOMONTH(L$6,0))))&lt;=L$6)*(MOD((YEAR(L$6)-YEAR($F26))*12+MONTH(L$6)-MONTH($F26),1)=0)),IF($D26="Quarterly",((DATE(YEAR(L$5),MONTH(L$5),MIN(DAY($F26),DAY(EOMONTH(L$5,0))))&gt;=MAX(L$5,$F26))*(DATE(YEAR(L$5),MONTH(L$5),MIN(DAY($F26),DAY(EOMONTH(L$5,0))))&lt;=L$6)*(MOD((YEAR(L$5)-YEAR($F26))*12+MONTH(L$5)-MONTH($F26),3)=0)+(MONTH(L$6)&lt;&gt;MONTH(L$5))*(DATE(YEAR(L$6),MONTH(L$6),MIN(DAY($F26),DAY(EOMONTH(L$6,0))))&gt;=$F26)*(DATE(YEAR(L$6),MONTH(L$6),MIN(DAY($F26),DAY(EOMONTH(L$6,0))))&gt;=L$5)*(DATE(YEAR(L$6),MONTH(L$6),MIN(DAY($F26),DAY(EOMONTH(L$6,0))))&lt;=L$6)*(MOD((YEAR(L$6)-YEAR($F26))*12+MONTH(L$6)-MONTH($F26),3)=0)),IF($D26="One-off",($F26&gt;=L$5)*($F26&lt;=L$6),0))))))</f>
        <v>0</v>
      </c>
      <c r="M26" s="19">
        <f>IF(OR($E26="",$F26="",$D26=""),0,IF(OR($C26="Loan and finance repayments",$C26="VAT and taxes",$C26="Capital expenditure",$C26="Licences and regulatory fees"),1,1+CostAdj)*$E26*IF($D26="Weekly",(MAX(0,INT((M$6-$F26)/7)+1)-MAX(0,INT((M$5-1-$F26)/7)+1)),IF($D26="Fortnightly",(MAX(0,INT((M$6-$F26)/14)+1)-MAX(0,INT((M$5-1-$F26)/14)+1)),IF($D26="Monthly",((DATE(YEAR(M$5),MONTH(M$5),MIN(DAY($F26),DAY(EOMONTH(M$5,0))))&gt;=MAX(M$5,$F26))*(DATE(YEAR(M$5),MONTH(M$5),MIN(DAY($F26),DAY(EOMONTH(M$5,0))))&lt;=M$6)*(MOD((YEAR(M$5)-YEAR($F26))*12+MONTH(M$5)-MONTH($F26),1)=0)+(MONTH(M$6)&lt;&gt;MONTH(M$5))*(DATE(YEAR(M$6),MONTH(M$6),MIN(DAY($F26),DAY(EOMONTH(M$6,0))))&gt;=$F26)*(DATE(YEAR(M$6),MONTH(M$6),MIN(DAY($F26),DAY(EOMONTH(M$6,0))))&gt;=M$5)*(DATE(YEAR(M$6),MONTH(M$6),MIN(DAY($F26),DAY(EOMONTH(M$6,0))))&lt;=M$6)*(MOD((YEAR(M$6)-YEAR($F26))*12+MONTH(M$6)-MONTH($F26),1)=0)),IF($D26="Quarterly",((DATE(YEAR(M$5),MONTH(M$5),MIN(DAY($F26),DAY(EOMONTH(M$5,0))))&gt;=MAX(M$5,$F26))*(DATE(YEAR(M$5),MONTH(M$5),MIN(DAY($F26),DAY(EOMONTH(M$5,0))))&lt;=M$6)*(MOD((YEAR(M$5)-YEAR($F26))*12+MONTH(M$5)-MONTH($F26),3)=0)+(MONTH(M$6)&lt;&gt;MONTH(M$5))*(DATE(YEAR(M$6),MONTH(M$6),MIN(DAY($F26),DAY(EOMONTH(M$6,0))))&gt;=$F26)*(DATE(YEAR(M$6),MONTH(M$6),MIN(DAY($F26),DAY(EOMONTH(M$6,0))))&gt;=M$5)*(DATE(YEAR(M$6),MONTH(M$6),MIN(DAY($F26),DAY(EOMONTH(M$6,0))))&lt;=M$6)*(MOD((YEAR(M$6)-YEAR($F26))*12+MONTH(M$6)-MONTH($F26),3)=0)),IF($D26="One-off",($F26&gt;=M$5)*($F26&lt;=M$6),0))))))</f>
        <v>0</v>
      </c>
      <c r="N26" s="19">
        <f>IF(OR($E26="",$F26="",$D26=""),0,IF(OR($C26="Loan and finance repayments",$C26="VAT and taxes",$C26="Capital expenditure",$C26="Licences and regulatory fees"),1,1+CostAdj)*$E26*IF($D26="Weekly",(MAX(0,INT((N$6-$F26)/7)+1)-MAX(0,INT((N$5-1-$F26)/7)+1)),IF($D26="Fortnightly",(MAX(0,INT((N$6-$F26)/14)+1)-MAX(0,INT((N$5-1-$F26)/14)+1)),IF($D26="Monthly",((DATE(YEAR(N$5),MONTH(N$5),MIN(DAY($F26),DAY(EOMONTH(N$5,0))))&gt;=MAX(N$5,$F26))*(DATE(YEAR(N$5),MONTH(N$5),MIN(DAY($F26),DAY(EOMONTH(N$5,0))))&lt;=N$6)*(MOD((YEAR(N$5)-YEAR($F26))*12+MONTH(N$5)-MONTH($F26),1)=0)+(MONTH(N$6)&lt;&gt;MONTH(N$5))*(DATE(YEAR(N$6),MONTH(N$6),MIN(DAY($F26),DAY(EOMONTH(N$6,0))))&gt;=$F26)*(DATE(YEAR(N$6),MONTH(N$6),MIN(DAY($F26),DAY(EOMONTH(N$6,0))))&gt;=N$5)*(DATE(YEAR(N$6),MONTH(N$6),MIN(DAY($F26),DAY(EOMONTH(N$6,0))))&lt;=N$6)*(MOD((YEAR(N$6)-YEAR($F26))*12+MONTH(N$6)-MONTH($F26),1)=0)),IF($D26="Quarterly",((DATE(YEAR(N$5),MONTH(N$5),MIN(DAY($F26),DAY(EOMONTH(N$5,0))))&gt;=MAX(N$5,$F26))*(DATE(YEAR(N$5),MONTH(N$5),MIN(DAY($F26),DAY(EOMONTH(N$5,0))))&lt;=N$6)*(MOD((YEAR(N$5)-YEAR($F26))*12+MONTH(N$5)-MONTH($F26),3)=0)+(MONTH(N$6)&lt;&gt;MONTH(N$5))*(DATE(YEAR(N$6),MONTH(N$6),MIN(DAY($F26),DAY(EOMONTH(N$6,0))))&gt;=$F26)*(DATE(YEAR(N$6),MONTH(N$6),MIN(DAY($F26),DAY(EOMONTH(N$6,0))))&gt;=N$5)*(DATE(YEAR(N$6),MONTH(N$6),MIN(DAY($F26),DAY(EOMONTH(N$6,0))))&lt;=N$6)*(MOD((YEAR(N$6)-YEAR($F26))*12+MONTH(N$6)-MONTH($F26),3)=0)),IF($D26="One-off",($F26&gt;=N$5)*($F26&lt;=N$6),0))))))</f>
        <v>0</v>
      </c>
      <c r="O26" s="19">
        <f>IF(OR($E26="",$F26="",$D26=""),0,IF(OR($C26="Loan and finance repayments",$C26="VAT and taxes",$C26="Capital expenditure",$C26="Licences and regulatory fees"),1,1+CostAdj)*$E26*IF($D26="Weekly",(MAX(0,INT((O$6-$F26)/7)+1)-MAX(0,INT((O$5-1-$F26)/7)+1)),IF($D26="Fortnightly",(MAX(0,INT((O$6-$F26)/14)+1)-MAX(0,INT((O$5-1-$F26)/14)+1)),IF($D26="Monthly",((DATE(YEAR(O$5),MONTH(O$5),MIN(DAY($F26),DAY(EOMONTH(O$5,0))))&gt;=MAX(O$5,$F26))*(DATE(YEAR(O$5),MONTH(O$5),MIN(DAY($F26),DAY(EOMONTH(O$5,0))))&lt;=O$6)*(MOD((YEAR(O$5)-YEAR($F26))*12+MONTH(O$5)-MONTH($F26),1)=0)+(MONTH(O$6)&lt;&gt;MONTH(O$5))*(DATE(YEAR(O$6),MONTH(O$6),MIN(DAY($F26),DAY(EOMONTH(O$6,0))))&gt;=$F26)*(DATE(YEAR(O$6),MONTH(O$6),MIN(DAY($F26),DAY(EOMONTH(O$6,0))))&gt;=O$5)*(DATE(YEAR(O$6),MONTH(O$6),MIN(DAY($F26),DAY(EOMONTH(O$6,0))))&lt;=O$6)*(MOD((YEAR(O$6)-YEAR($F26))*12+MONTH(O$6)-MONTH($F26),1)=0)),IF($D26="Quarterly",((DATE(YEAR(O$5),MONTH(O$5),MIN(DAY($F26),DAY(EOMONTH(O$5,0))))&gt;=MAX(O$5,$F26))*(DATE(YEAR(O$5),MONTH(O$5),MIN(DAY($F26),DAY(EOMONTH(O$5,0))))&lt;=O$6)*(MOD((YEAR(O$5)-YEAR($F26))*12+MONTH(O$5)-MONTH($F26),3)=0)+(MONTH(O$6)&lt;&gt;MONTH(O$5))*(DATE(YEAR(O$6),MONTH(O$6),MIN(DAY($F26),DAY(EOMONTH(O$6,0))))&gt;=$F26)*(DATE(YEAR(O$6),MONTH(O$6),MIN(DAY($F26),DAY(EOMONTH(O$6,0))))&gt;=O$5)*(DATE(YEAR(O$6),MONTH(O$6),MIN(DAY($F26),DAY(EOMONTH(O$6,0))))&lt;=O$6)*(MOD((YEAR(O$6)-YEAR($F26))*12+MONTH(O$6)-MONTH($F26),3)=0)),IF($D26="One-off",($F26&gt;=O$5)*($F26&lt;=O$6),0))))))</f>
        <v>0</v>
      </c>
      <c r="P26" s="19">
        <f>IF(OR($E26="",$F26="",$D26=""),0,IF(OR($C26="Loan and finance repayments",$C26="VAT and taxes",$C26="Capital expenditure",$C26="Licences and regulatory fees"),1,1+CostAdj)*$E26*IF($D26="Weekly",(MAX(0,INT((P$6-$F26)/7)+1)-MAX(0,INT((P$5-1-$F26)/7)+1)),IF($D26="Fortnightly",(MAX(0,INT((P$6-$F26)/14)+1)-MAX(0,INT((P$5-1-$F26)/14)+1)),IF($D26="Monthly",((DATE(YEAR(P$5),MONTH(P$5),MIN(DAY($F26),DAY(EOMONTH(P$5,0))))&gt;=MAX(P$5,$F26))*(DATE(YEAR(P$5),MONTH(P$5),MIN(DAY($F26),DAY(EOMONTH(P$5,0))))&lt;=P$6)*(MOD((YEAR(P$5)-YEAR($F26))*12+MONTH(P$5)-MONTH($F26),1)=0)+(MONTH(P$6)&lt;&gt;MONTH(P$5))*(DATE(YEAR(P$6),MONTH(P$6),MIN(DAY($F26),DAY(EOMONTH(P$6,0))))&gt;=$F26)*(DATE(YEAR(P$6),MONTH(P$6),MIN(DAY($F26),DAY(EOMONTH(P$6,0))))&gt;=P$5)*(DATE(YEAR(P$6),MONTH(P$6),MIN(DAY($F26),DAY(EOMONTH(P$6,0))))&lt;=P$6)*(MOD((YEAR(P$6)-YEAR($F26))*12+MONTH(P$6)-MONTH($F26),1)=0)),IF($D26="Quarterly",((DATE(YEAR(P$5),MONTH(P$5),MIN(DAY($F26),DAY(EOMONTH(P$5,0))))&gt;=MAX(P$5,$F26))*(DATE(YEAR(P$5),MONTH(P$5),MIN(DAY($F26),DAY(EOMONTH(P$5,0))))&lt;=P$6)*(MOD((YEAR(P$5)-YEAR($F26))*12+MONTH(P$5)-MONTH($F26),3)=0)+(MONTH(P$6)&lt;&gt;MONTH(P$5))*(DATE(YEAR(P$6),MONTH(P$6),MIN(DAY($F26),DAY(EOMONTH(P$6,0))))&gt;=$F26)*(DATE(YEAR(P$6),MONTH(P$6),MIN(DAY($F26),DAY(EOMONTH(P$6,0))))&gt;=P$5)*(DATE(YEAR(P$6),MONTH(P$6),MIN(DAY($F26),DAY(EOMONTH(P$6,0))))&lt;=P$6)*(MOD((YEAR(P$6)-YEAR($F26))*12+MONTH(P$6)-MONTH($F26),3)=0)),IF($D26="One-off",($F26&gt;=P$5)*($F26&lt;=P$6),0))))))</f>
        <v>0</v>
      </c>
      <c r="Q26" s="19">
        <f>IF(OR($E26="",$F26="",$D26=""),0,IF(OR($C26="Loan and finance repayments",$C26="VAT and taxes",$C26="Capital expenditure",$C26="Licences and regulatory fees"),1,1+CostAdj)*$E26*IF($D26="Weekly",(MAX(0,INT((Q$6-$F26)/7)+1)-MAX(0,INT((Q$5-1-$F26)/7)+1)),IF($D26="Fortnightly",(MAX(0,INT((Q$6-$F26)/14)+1)-MAX(0,INT((Q$5-1-$F26)/14)+1)),IF($D26="Monthly",((DATE(YEAR(Q$5),MONTH(Q$5),MIN(DAY($F26),DAY(EOMONTH(Q$5,0))))&gt;=MAX(Q$5,$F26))*(DATE(YEAR(Q$5),MONTH(Q$5),MIN(DAY($F26),DAY(EOMONTH(Q$5,0))))&lt;=Q$6)*(MOD((YEAR(Q$5)-YEAR($F26))*12+MONTH(Q$5)-MONTH($F26),1)=0)+(MONTH(Q$6)&lt;&gt;MONTH(Q$5))*(DATE(YEAR(Q$6),MONTH(Q$6),MIN(DAY($F26),DAY(EOMONTH(Q$6,0))))&gt;=$F26)*(DATE(YEAR(Q$6),MONTH(Q$6),MIN(DAY($F26),DAY(EOMONTH(Q$6,0))))&gt;=Q$5)*(DATE(YEAR(Q$6),MONTH(Q$6),MIN(DAY($F26),DAY(EOMONTH(Q$6,0))))&lt;=Q$6)*(MOD((YEAR(Q$6)-YEAR($F26))*12+MONTH(Q$6)-MONTH($F26),1)=0)),IF($D26="Quarterly",((DATE(YEAR(Q$5),MONTH(Q$5),MIN(DAY($F26),DAY(EOMONTH(Q$5,0))))&gt;=MAX(Q$5,$F26))*(DATE(YEAR(Q$5),MONTH(Q$5),MIN(DAY($F26),DAY(EOMONTH(Q$5,0))))&lt;=Q$6)*(MOD((YEAR(Q$5)-YEAR($F26))*12+MONTH(Q$5)-MONTH($F26),3)=0)+(MONTH(Q$6)&lt;&gt;MONTH(Q$5))*(DATE(YEAR(Q$6),MONTH(Q$6),MIN(DAY($F26),DAY(EOMONTH(Q$6,0))))&gt;=$F26)*(DATE(YEAR(Q$6),MONTH(Q$6),MIN(DAY($F26),DAY(EOMONTH(Q$6,0))))&gt;=Q$5)*(DATE(YEAR(Q$6),MONTH(Q$6),MIN(DAY($F26),DAY(EOMONTH(Q$6,0))))&lt;=Q$6)*(MOD((YEAR(Q$6)-YEAR($F26))*12+MONTH(Q$6)-MONTH($F26),3)=0)),IF($D26="One-off",($F26&gt;=Q$5)*($F26&lt;=Q$6),0))))))</f>
        <v>0</v>
      </c>
      <c r="R26" s="19">
        <f>IF(OR($E26="",$F26="",$D26=""),0,IF(OR($C26="Loan and finance repayments",$C26="VAT and taxes",$C26="Capital expenditure",$C26="Licences and regulatory fees"),1,1+CostAdj)*$E26*IF($D26="Weekly",(MAX(0,INT((R$6-$F26)/7)+1)-MAX(0,INT((R$5-1-$F26)/7)+1)),IF($D26="Fortnightly",(MAX(0,INT((R$6-$F26)/14)+1)-MAX(0,INT((R$5-1-$F26)/14)+1)),IF($D26="Monthly",((DATE(YEAR(R$5),MONTH(R$5),MIN(DAY($F26),DAY(EOMONTH(R$5,0))))&gt;=MAX(R$5,$F26))*(DATE(YEAR(R$5),MONTH(R$5),MIN(DAY($F26),DAY(EOMONTH(R$5,0))))&lt;=R$6)*(MOD((YEAR(R$5)-YEAR($F26))*12+MONTH(R$5)-MONTH($F26),1)=0)+(MONTH(R$6)&lt;&gt;MONTH(R$5))*(DATE(YEAR(R$6),MONTH(R$6),MIN(DAY($F26),DAY(EOMONTH(R$6,0))))&gt;=$F26)*(DATE(YEAR(R$6),MONTH(R$6),MIN(DAY($F26),DAY(EOMONTH(R$6,0))))&gt;=R$5)*(DATE(YEAR(R$6),MONTH(R$6),MIN(DAY($F26),DAY(EOMONTH(R$6,0))))&lt;=R$6)*(MOD((YEAR(R$6)-YEAR($F26))*12+MONTH(R$6)-MONTH($F26),1)=0)),IF($D26="Quarterly",((DATE(YEAR(R$5),MONTH(R$5),MIN(DAY($F26),DAY(EOMONTH(R$5,0))))&gt;=MAX(R$5,$F26))*(DATE(YEAR(R$5),MONTH(R$5),MIN(DAY($F26),DAY(EOMONTH(R$5,0))))&lt;=R$6)*(MOD((YEAR(R$5)-YEAR($F26))*12+MONTH(R$5)-MONTH($F26),3)=0)+(MONTH(R$6)&lt;&gt;MONTH(R$5))*(DATE(YEAR(R$6),MONTH(R$6),MIN(DAY($F26),DAY(EOMONTH(R$6,0))))&gt;=$F26)*(DATE(YEAR(R$6),MONTH(R$6),MIN(DAY($F26),DAY(EOMONTH(R$6,0))))&gt;=R$5)*(DATE(YEAR(R$6),MONTH(R$6),MIN(DAY($F26),DAY(EOMONTH(R$6,0))))&lt;=R$6)*(MOD((YEAR(R$6)-YEAR($F26))*12+MONTH(R$6)-MONTH($F26),3)=0)),IF($D26="One-off",($F26&gt;=R$5)*($F26&lt;=R$6),0))))))</f>
        <v>0</v>
      </c>
      <c r="S26" s="19">
        <f>IF(OR($E26="",$F26="",$D26=""),0,IF(OR($C26="Loan and finance repayments",$C26="VAT and taxes",$C26="Capital expenditure",$C26="Licences and regulatory fees"),1,1+CostAdj)*$E26*IF($D26="Weekly",(MAX(0,INT((S$6-$F26)/7)+1)-MAX(0,INT((S$5-1-$F26)/7)+1)),IF($D26="Fortnightly",(MAX(0,INT((S$6-$F26)/14)+1)-MAX(0,INT((S$5-1-$F26)/14)+1)),IF($D26="Monthly",((DATE(YEAR(S$5),MONTH(S$5),MIN(DAY($F26),DAY(EOMONTH(S$5,0))))&gt;=MAX(S$5,$F26))*(DATE(YEAR(S$5),MONTH(S$5),MIN(DAY($F26),DAY(EOMONTH(S$5,0))))&lt;=S$6)*(MOD((YEAR(S$5)-YEAR($F26))*12+MONTH(S$5)-MONTH($F26),1)=0)+(MONTH(S$6)&lt;&gt;MONTH(S$5))*(DATE(YEAR(S$6),MONTH(S$6),MIN(DAY($F26),DAY(EOMONTH(S$6,0))))&gt;=$F26)*(DATE(YEAR(S$6),MONTH(S$6),MIN(DAY($F26),DAY(EOMONTH(S$6,0))))&gt;=S$5)*(DATE(YEAR(S$6),MONTH(S$6),MIN(DAY($F26),DAY(EOMONTH(S$6,0))))&lt;=S$6)*(MOD((YEAR(S$6)-YEAR($F26))*12+MONTH(S$6)-MONTH($F26),1)=0)),IF($D26="Quarterly",((DATE(YEAR(S$5),MONTH(S$5),MIN(DAY($F26),DAY(EOMONTH(S$5,0))))&gt;=MAX(S$5,$F26))*(DATE(YEAR(S$5),MONTH(S$5),MIN(DAY($F26),DAY(EOMONTH(S$5,0))))&lt;=S$6)*(MOD((YEAR(S$5)-YEAR($F26))*12+MONTH(S$5)-MONTH($F26),3)=0)+(MONTH(S$6)&lt;&gt;MONTH(S$5))*(DATE(YEAR(S$6),MONTH(S$6),MIN(DAY($F26),DAY(EOMONTH(S$6,0))))&gt;=$F26)*(DATE(YEAR(S$6),MONTH(S$6),MIN(DAY($F26),DAY(EOMONTH(S$6,0))))&gt;=S$5)*(DATE(YEAR(S$6),MONTH(S$6),MIN(DAY($F26),DAY(EOMONTH(S$6,0))))&lt;=S$6)*(MOD((YEAR(S$6)-YEAR($F26))*12+MONTH(S$6)-MONTH($F26),3)=0)),IF($D26="One-off",($F26&gt;=S$5)*($F26&lt;=S$6),0))))))</f>
        <v>0</v>
      </c>
      <c r="T26" s="19">
        <f>IF(OR($E26="",$F26="",$D26=""),0,IF(OR($C26="Loan and finance repayments",$C26="VAT and taxes",$C26="Capital expenditure",$C26="Licences and regulatory fees"),1,1+CostAdj)*$E26*IF($D26="Weekly",(MAX(0,INT((T$6-$F26)/7)+1)-MAX(0,INT((T$5-1-$F26)/7)+1)),IF($D26="Fortnightly",(MAX(0,INT((T$6-$F26)/14)+1)-MAX(0,INT((T$5-1-$F26)/14)+1)),IF($D26="Monthly",((DATE(YEAR(T$5),MONTH(T$5),MIN(DAY($F26),DAY(EOMONTH(T$5,0))))&gt;=MAX(T$5,$F26))*(DATE(YEAR(T$5),MONTH(T$5),MIN(DAY($F26),DAY(EOMONTH(T$5,0))))&lt;=T$6)*(MOD((YEAR(T$5)-YEAR($F26))*12+MONTH(T$5)-MONTH($F26),1)=0)+(MONTH(T$6)&lt;&gt;MONTH(T$5))*(DATE(YEAR(T$6),MONTH(T$6),MIN(DAY($F26),DAY(EOMONTH(T$6,0))))&gt;=$F26)*(DATE(YEAR(T$6),MONTH(T$6),MIN(DAY($F26),DAY(EOMONTH(T$6,0))))&gt;=T$5)*(DATE(YEAR(T$6),MONTH(T$6),MIN(DAY($F26),DAY(EOMONTH(T$6,0))))&lt;=T$6)*(MOD((YEAR(T$6)-YEAR($F26))*12+MONTH(T$6)-MONTH($F26),1)=0)),IF($D26="Quarterly",((DATE(YEAR(T$5),MONTH(T$5),MIN(DAY($F26),DAY(EOMONTH(T$5,0))))&gt;=MAX(T$5,$F26))*(DATE(YEAR(T$5),MONTH(T$5),MIN(DAY($F26),DAY(EOMONTH(T$5,0))))&lt;=T$6)*(MOD((YEAR(T$5)-YEAR($F26))*12+MONTH(T$5)-MONTH($F26),3)=0)+(MONTH(T$6)&lt;&gt;MONTH(T$5))*(DATE(YEAR(T$6),MONTH(T$6),MIN(DAY($F26),DAY(EOMONTH(T$6,0))))&gt;=$F26)*(DATE(YEAR(T$6),MONTH(T$6),MIN(DAY($F26),DAY(EOMONTH(T$6,0))))&gt;=T$5)*(DATE(YEAR(T$6),MONTH(T$6),MIN(DAY($F26),DAY(EOMONTH(T$6,0))))&lt;=T$6)*(MOD((YEAR(T$6)-YEAR($F26))*12+MONTH(T$6)-MONTH($F26),3)=0)),IF($D26="One-off",($F26&gt;=T$5)*($F26&lt;=T$6),0))))))</f>
        <v>0</v>
      </c>
      <c r="U26" s="36">
        <f>SUM(H26:T26)</f>
        <v>0</v>
      </c>
    </row>
    <row r="27" spans="1:21">
      <c r="A27" s="42">
        <v>19</v>
      </c>
      <c r="B27" s="7"/>
      <c r="C27" s="7"/>
      <c r="D27" s="7"/>
      <c r="E27" s="18"/>
      <c r="F27" s="17"/>
      <c r="G27" s="7"/>
      <c r="H27" s="19">
        <f>IF(OR($E27="",$F27="",$D27=""),0,IF(OR($C27="Loan and finance repayments",$C27="VAT and taxes",$C27="Capital expenditure",$C27="Licences and regulatory fees"),1,1+CostAdj)*$E27*IF($D27="Weekly",(MAX(0,INT((H$6-$F27)/7)+1)-MAX(0,INT((H$5-1-$F27)/7)+1)),IF($D27="Fortnightly",(MAX(0,INT((H$6-$F27)/14)+1)-MAX(0,INT((H$5-1-$F27)/14)+1)),IF($D27="Monthly",((DATE(YEAR(H$5),MONTH(H$5),MIN(DAY($F27),DAY(EOMONTH(H$5,0))))&gt;=MAX(H$5,$F27))*(DATE(YEAR(H$5),MONTH(H$5),MIN(DAY($F27),DAY(EOMONTH(H$5,0))))&lt;=H$6)*(MOD((YEAR(H$5)-YEAR($F27))*12+MONTH(H$5)-MONTH($F27),1)=0)+(MONTH(H$6)&lt;&gt;MONTH(H$5))*(DATE(YEAR(H$6),MONTH(H$6),MIN(DAY($F27),DAY(EOMONTH(H$6,0))))&gt;=$F27)*(DATE(YEAR(H$6),MONTH(H$6),MIN(DAY($F27),DAY(EOMONTH(H$6,0))))&gt;=H$5)*(DATE(YEAR(H$6),MONTH(H$6),MIN(DAY($F27),DAY(EOMONTH(H$6,0))))&lt;=H$6)*(MOD((YEAR(H$6)-YEAR($F27))*12+MONTH(H$6)-MONTH($F27),1)=0)),IF($D27="Quarterly",((DATE(YEAR(H$5),MONTH(H$5),MIN(DAY($F27),DAY(EOMONTH(H$5,0))))&gt;=MAX(H$5,$F27))*(DATE(YEAR(H$5),MONTH(H$5),MIN(DAY($F27),DAY(EOMONTH(H$5,0))))&lt;=H$6)*(MOD((YEAR(H$5)-YEAR($F27))*12+MONTH(H$5)-MONTH($F27),3)=0)+(MONTH(H$6)&lt;&gt;MONTH(H$5))*(DATE(YEAR(H$6),MONTH(H$6),MIN(DAY($F27),DAY(EOMONTH(H$6,0))))&gt;=$F27)*(DATE(YEAR(H$6),MONTH(H$6),MIN(DAY($F27),DAY(EOMONTH(H$6,0))))&gt;=H$5)*(DATE(YEAR(H$6),MONTH(H$6),MIN(DAY($F27),DAY(EOMONTH(H$6,0))))&lt;=H$6)*(MOD((YEAR(H$6)-YEAR($F27))*12+MONTH(H$6)-MONTH($F27),3)=0)),IF($D27="One-off",($F27&gt;=H$5)*($F27&lt;=H$6),0))))))</f>
        <v>0</v>
      </c>
      <c r="I27" s="19">
        <f>IF(OR($E27="",$F27="",$D27=""),0,IF(OR($C27="Loan and finance repayments",$C27="VAT and taxes",$C27="Capital expenditure",$C27="Licences and regulatory fees"),1,1+CostAdj)*$E27*IF($D27="Weekly",(MAX(0,INT((I$6-$F27)/7)+1)-MAX(0,INT((I$5-1-$F27)/7)+1)),IF($D27="Fortnightly",(MAX(0,INT((I$6-$F27)/14)+1)-MAX(0,INT((I$5-1-$F27)/14)+1)),IF($D27="Monthly",((DATE(YEAR(I$5),MONTH(I$5),MIN(DAY($F27),DAY(EOMONTH(I$5,0))))&gt;=MAX(I$5,$F27))*(DATE(YEAR(I$5),MONTH(I$5),MIN(DAY($F27),DAY(EOMONTH(I$5,0))))&lt;=I$6)*(MOD((YEAR(I$5)-YEAR($F27))*12+MONTH(I$5)-MONTH($F27),1)=0)+(MONTH(I$6)&lt;&gt;MONTH(I$5))*(DATE(YEAR(I$6),MONTH(I$6),MIN(DAY($F27),DAY(EOMONTH(I$6,0))))&gt;=$F27)*(DATE(YEAR(I$6),MONTH(I$6),MIN(DAY($F27),DAY(EOMONTH(I$6,0))))&gt;=I$5)*(DATE(YEAR(I$6),MONTH(I$6),MIN(DAY($F27),DAY(EOMONTH(I$6,0))))&lt;=I$6)*(MOD((YEAR(I$6)-YEAR($F27))*12+MONTH(I$6)-MONTH($F27),1)=0)),IF($D27="Quarterly",((DATE(YEAR(I$5),MONTH(I$5),MIN(DAY($F27),DAY(EOMONTH(I$5,0))))&gt;=MAX(I$5,$F27))*(DATE(YEAR(I$5),MONTH(I$5),MIN(DAY($F27),DAY(EOMONTH(I$5,0))))&lt;=I$6)*(MOD((YEAR(I$5)-YEAR($F27))*12+MONTH(I$5)-MONTH($F27),3)=0)+(MONTH(I$6)&lt;&gt;MONTH(I$5))*(DATE(YEAR(I$6),MONTH(I$6),MIN(DAY($F27),DAY(EOMONTH(I$6,0))))&gt;=$F27)*(DATE(YEAR(I$6),MONTH(I$6),MIN(DAY($F27),DAY(EOMONTH(I$6,0))))&gt;=I$5)*(DATE(YEAR(I$6),MONTH(I$6),MIN(DAY($F27),DAY(EOMONTH(I$6,0))))&lt;=I$6)*(MOD((YEAR(I$6)-YEAR($F27))*12+MONTH(I$6)-MONTH($F27),3)=0)),IF($D27="One-off",($F27&gt;=I$5)*($F27&lt;=I$6),0))))))</f>
        <v>0</v>
      </c>
      <c r="J27" s="19">
        <f>IF(OR($E27="",$F27="",$D27=""),0,IF(OR($C27="Loan and finance repayments",$C27="VAT and taxes",$C27="Capital expenditure",$C27="Licences and regulatory fees"),1,1+CostAdj)*$E27*IF($D27="Weekly",(MAX(0,INT((J$6-$F27)/7)+1)-MAX(0,INT((J$5-1-$F27)/7)+1)),IF($D27="Fortnightly",(MAX(0,INT((J$6-$F27)/14)+1)-MAX(0,INT((J$5-1-$F27)/14)+1)),IF($D27="Monthly",((DATE(YEAR(J$5),MONTH(J$5),MIN(DAY($F27),DAY(EOMONTH(J$5,0))))&gt;=MAX(J$5,$F27))*(DATE(YEAR(J$5),MONTH(J$5),MIN(DAY($F27),DAY(EOMONTH(J$5,0))))&lt;=J$6)*(MOD((YEAR(J$5)-YEAR($F27))*12+MONTH(J$5)-MONTH($F27),1)=0)+(MONTH(J$6)&lt;&gt;MONTH(J$5))*(DATE(YEAR(J$6),MONTH(J$6),MIN(DAY($F27),DAY(EOMONTH(J$6,0))))&gt;=$F27)*(DATE(YEAR(J$6),MONTH(J$6),MIN(DAY($F27),DAY(EOMONTH(J$6,0))))&gt;=J$5)*(DATE(YEAR(J$6),MONTH(J$6),MIN(DAY($F27),DAY(EOMONTH(J$6,0))))&lt;=J$6)*(MOD((YEAR(J$6)-YEAR($F27))*12+MONTH(J$6)-MONTH($F27),1)=0)),IF($D27="Quarterly",((DATE(YEAR(J$5),MONTH(J$5),MIN(DAY($F27),DAY(EOMONTH(J$5,0))))&gt;=MAX(J$5,$F27))*(DATE(YEAR(J$5),MONTH(J$5),MIN(DAY($F27),DAY(EOMONTH(J$5,0))))&lt;=J$6)*(MOD((YEAR(J$5)-YEAR($F27))*12+MONTH(J$5)-MONTH($F27),3)=0)+(MONTH(J$6)&lt;&gt;MONTH(J$5))*(DATE(YEAR(J$6),MONTH(J$6),MIN(DAY($F27),DAY(EOMONTH(J$6,0))))&gt;=$F27)*(DATE(YEAR(J$6),MONTH(J$6),MIN(DAY($F27),DAY(EOMONTH(J$6,0))))&gt;=J$5)*(DATE(YEAR(J$6),MONTH(J$6),MIN(DAY($F27),DAY(EOMONTH(J$6,0))))&lt;=J$6)*(MOD((YEAR(J$6)-YEAR($F27))*12+MONTH(J$6)-MONTH($F27),3)=0)),IF($D27="One-off",($F27&gt;=J$5)*($F27&lt;=J$6),0))))))</f>
        <v>0</v>
      </c>
      <c r="K27" s="19">
        <f>IF(OR($E27="",$F27="",$D27=""),0,IF(OR($C27="Loan and finance repayments",$C27="VAT and taxes",$C27="Capital expenditure",$C27="Licences and regulatory fees"),1,1+CostAdj)*$E27*IF($D27="Weekly",(MAX(0,INT((K$6-$F27)/7)+1)-MAX(0,INT((K$5-1-$F27)/7)+1)),IF($D27="Fortnightly",(MAX(0,INT((K$6-$F27)/14)+1)-MAX(0,INT((K$5-1-$F27)/14)+1)),IF($D27="Monthly",((DATE(YEAR(K$5),MONTH(K$5),MIN(DAY($F27),DAY(EOMONTH(K$5,0))))&gt;=MAX(K$5,$F27))*(DATE(YEAR(K$5),MONTH(K$5),MIN(DAY($F27),DAY(EOMONTH(K$5,0))))&lt;=K$6)*(MOD((YEAR(K$5)-YEAR($F27))*12+MONTH(K$5)-MONTH($F27),1)=0)+(MONTH(K$6)&lt;&gt;MONTH(K$5))*(DATE(YEAR(K$6),MONTH(K$6),MIN(DAY($F27),DAY(EOMONTH(K$6,0))))&gt;=$F27)*(DATE(YEAR(K$6),MONTH(K$6),MIN(DAY($F27),DAY(EOMONTH(K$6,0))))&gt;=K$5)*(DATE(YEAR(K$6),MONTH(K$6),MIN(DAY($F27),DAY(EOMONTH(K$6,0))))&lt;=K$6)*(MOD((YEAR(K$6)-YEAR($F27))*12+MONTH(K$6)-MONTH($F27),1)=0)),IF($D27="Quarterly",((DATE(YEAR(K$5),MONTH(K$5),MIN(DAY($F27),DAY(EOMONTH(K$5,0))))&gt;=MAX(K$5,$F27))*(DATE(YEAR(K$5),MONTH(K$5),MIN(DAY($F27),DAY(EOMONTH(K$5,0))))&lt;=K$6)*(MOD((YEAR(K$5)-YEAR($F27))*12+MONTH(K$5)-MONTH($F27),3)=0)+(MONTH(K$6)&lt;&gt;MONTH(K$5))*(DATE(YEAR(K$6),MONTH(K$6),MIN(DAY($F27),DAY(EOMONTH(K$6,0))))&gt;=$F27)*(DATE(YEAR(K$6),MONTH(K$6),MIN(DAY($F27),DAY(EOMONTH(K$6,0))))&gt;=K$5)*(DATE(YEAR(K$6),MONTH(K$6),MIN(DAY($F27),DAY(EOMONTH(K$6,0))))&lt;=K$6)*(MOD((YEAR(K$6)-YEAR($F27))*12+MONTH(K$6)-MONTH($F27),3)=0)),IF($D27="One-off",($F27&gt;=K$5)*($F27&lt;=K$6),0))))))</f>
        <v>0</v>
      </c>
      <c r="L27" s="19">
        <f>IF(OR($E27="",$F27="",$D27=""),0,IF(OR($C27="Loan and finance repayments",$C27="VAT and taxes",$C27="Capital expenditure",$C27="Licences and regulatory fees"),1,1+CostAdj)*$E27*IF($D27="Weekly",(MAX(0,INT((L$6-$F27)/7)+1)-MAX(0,INT((L$5-1-$F27)/7)+1)),IF($D27="Fortnightly",(MAX(0,INT((L$6-$F27)/14)+1)-MAX(0,INT((L$5-1-$F27)/14)+1)),IF($D27="Monthly",((DATE(YEAR(L$5),MONTH(L$5),MIN(DAY($F27),DAY(EOMONTH(L$5,0))))&gt;=MAX(L$5,$F27))*(DATE(YEAR(L$5),MONTH(L$5),MIN(DAY($F27),DAY(EOMONTH(L$5,0))))&lt;=L$6)*(MOD((YEAR(L$5)-YEAR($F27))*12+MONTH(L$5)-MONTH($F27),1)=0)+(MONTH(L$6)&lt;&gt;MONTH(L$5))*(DATE(YEAR(L$6),MONTH(L$6),MIN(DAY($F27),DAY(EOMONTH(L$6,0))))&gt;=$F27)*(DATE(YEAR(L$6),MONTH(L$6),MIN(DAY($F27),DAY(EOMONTH(L$6,0))))&gt;=L$5)*(DATE(YEAR(L$6),MONTH(L$6),MIN(DAY($F27),DAY(EOMONTH(L$6,0))))&lt;=L$6)*(MOD((YEAR(L$6)-YEAR($F27))*12+MONTH(L$6)-MONTH($F27),1)=0)),IF($D27="Quarterly",((DATE(YEAR(L$5),MONTH(L$5),MIN(DAY($F27),DAY(EOMONTH(L$5,0))))&gt;=MAX(L$5,$F27))*(DATE(YEAR(L$5),MONTH(L$5),MIN(DAY($F27),DAY(EOMONTH(L$5,0))))&lt;=L$6)*(MOD((YEAR(L$5)-YEAR($F27))*12+MONTH(L$5)-MONTH($F27),3)=0)+(MONTH(L$6)&lt;&gt;MONTH(L$5))*(DATE(YEAR(L$6),MONTH(L$6),MIN(DAY($F27),DAY(EOMONTH(L$6,0))))&gt;=$F27)*(DATE(YEAR(L$6),MONTH(L$6),MIN(DAY($F27),DAY(EOMONTH(L$6,0))))&gt;=L$5)*(DATE(YEAR(L$6),MONTH(L$6),MIN(DAY($F27),DAY(EOMONTH(L$6,0))))&lt;=L$6)*(MOD((YEAR(L$6)-YEAR($F27))*12+MONTH(L$6)-MONTH($F27),3)=0)),IF($D27="One-off",($F27&gt;=L$5)*($F27&lt;=L$6),0))))))</f>
        <v>0</v>
      </c>
      <c r="M27" s="19">
        <f>IF(OR($E27="",$F27="",$D27=""),0,IF(OR($C27="Loan and finance repayments",$C27="VAT and taxes",$C27="Capital expenditure",$C27="Licences and regulatory fees"),1,1+CostAdj)*$E27*IF($D27="Weekly",(MAX(0,INT((M$6-$F27)/7)+1)-MAX(0,INT((M$5-1-$F27)/7)+1)),IF($D27="Fortnightly",(MAX(0,INT((M$6-$F27)/14)+1)-MAX(0,INT((M$5-1-$F27)/14)+1)),IF($D27="Monthly",((DATE(YEAR(M$5),MONTH(M$5),MIN(DAY($F27),DAY(EOMONTH(M$5,0))))&gt;=MAX(M$5,$F27))*(DATE(YEAR(M$5),MONTH(M$5),MIN(DAY($F27),DAY(EOMONTH(M$5,0))))&lt;=M$6)*(MOD((YEAR(M$5)-YEAR($F27))*12+MONTH(M$5)-MONTH($F27),1)=0)+(MONTH(M$6)&lt;&gt;MONTH(M$5))*(DATE(YEAR(M$6),MONTH(M$6),MIN(DAY($F27),DAY(EOMONTH(M$6,0))))&gt;=$F27)*(DATE(YEAR(M$6),MONTH(M$6),MIN(DAY($F27),DAY(EOMONTH(M$6,0))))&gt;=M$5)*(DATE(YEAR(M$6),MONTH(M$6),MIN(DAY($F27),DAY(EOMONTH(M$6,0))))&lt;=M$6)*(MOD((YEAR(M$6)-YEAR($F27))*12+MONTH(M$6)-MONTH($F27),1)=0)),IF($D27="Quarterly",((DATE(YEAR(M$5),MONTH(M$5),MIN(DAY($F27),DAY(EOMONTH(M$5,0))))&gt;=MAX(M$5,$F27))*(DATE(YEAR(M$5),MONTH(M$5),MIN(DAY($F27),DAY(EOMONTH(M$5,0))))&lt;=M$6)*(MOD((YEAR(M$5)-YEAR($F27))*12+MONTH(M$5)-MONTH($F27),3)=0)+(MONTH(M$6)&lt;&gt;MONTH(M$5))*(DATE(YEAR(M$6),MONTH(M$6),MIN(DAY($F27),DAY(EOMONTH(M$6,0))))&gt;=$F27)*(DATE(YEAR(M$6),MONTH(M$6),MIN(DAY($F27),DAY(EOMONTH(M$6,0))))&gt;=M$5)*(DATE(YEAR(M$6),MONTH(M$6),MIN(DAY($F27),DAY(EOMONTH(M$6,0))))&lt;=M$6)*(MOD((YEAR(M$6)-YEAR($F27))*12+MONTH(M$6)-MONTH($F27),3)=0)),IF($D27="One-off",($F27&gt;=M$5)*($F27&lt;=M$6),0))))))</f>
        <v>0</v>
      </c>
      <c r="N27" s="19">
        <f>IF(OR($E27="",$F27="",$D27=""),0,IF(OR($C27="Loan and finance repayments",$C27="VAT and taxes",$C27="Capital expenditure",$C27="Licences and regulatory fees"),1,1+CostAdj)*$E27*IF($D27="Weekly",(MAX(0,INT((N$6-$F27)/7)+1)-MAX(0,INT((N$5-1-$F27)/7)+1)),IF($D27="Fortnightly",(MAX(0,INT((N$6-$F27)/14)+1)-MAX(0,INT((N$5-1-$F27)/14)+1)),IF($D27="Monthly",((DATE(YEAR(N$5),MONTH(N$5),MIN(DAY($F27),DAY(EOMONTH(N$5,0))))&gt;=MAX(N$5,$F27))*(DATE(YEAR(N$5),MONTH(N$5),MIN(DAY($F27),DAY(EOMONTH(N$5,0))))&lt;=N$6)*(MOD((YEAR(N$5)-YEAR($F27))*12+MONTH(N$5)-MONTH($F27),1)=0)+(MONTH(N$6)&lt;&gt;MONTH(N$5))*(DATE(YEAR(N$6),MONTH(N$6),MIN(DAY($F27),DAY(EOMONTH(N$6,0))))&gt;=$F27)*(DATE(YEAR(N$6),MONTH(N$6),MIN(DAY($F27),DAY(EOMONTH(N$6,0))))&gt;=N$5)*(DATE(YEAR(N$6),MONTH(N$6),MIN(DAY($F27),DAY(EOMONTH(N$6,0))))&lt;=N$6)*(MOD((YEAR(N$6)-YEAR($F27))*12+MONTH(N$6)-MONTH($F27),1)=0)),IF($D27="Quarterly",((DATE(YEAR(N$5),MONTH(N$5),MIN(DAY($F27),DAY(EOMONTH(N$5,0))))&gt;=MAX(N$5,$F27))*(DATE(YEAR(N$5),MONTH(N$5),MIN(DAY($F27),DAY(EOMONTH(N$5,0))))&lt;=N$6)*(MOD((YEAR(N$5)-YEAR($F27))*12+MONTH(N$5)-MONTH($F27),3)=0)+(MONTH(N$6)&lt;&gt;MONTH(N$5))*(DATE(YEAR(N$6),MONTH(N$6),MIN(DAY($F27),DAY(EOMONTH(N$6,0))))&gt;=$F27)*(DATE(YEAR(N$6),MONTH(N$6),MIN(DAY($F27),DAY(EOMONTH(N$6,0))))&gt;=N$5)*(DATE(YEAR(N$6),MONTH(N$6),MIN(DAY($F27),DAY(EOMONTH(N$6,0))))&lt;=N$6)*(MOD((YEAR(N$6)-YEAR($F27))*12+MONTH(N$6)-MONTH($F27),3)=0)),IF($D27="One-off",($F27&gt;=N$5)*($F27&lt;=N$6),0))))))</f>
        <v>0</v>
      </c>
      <c r="O27" s="19">
        <f>IF(OR($E27="",$F27="",$D27=""),0,IF(OR($C27="Loan and finance repayments",$C27="VAT and taxes",$C27="Capital expenditure",$C27="Licences and regulatory fees"),1,1+CostAdj)*$E27*IF($D27="Weekly",(MAX(0,INT((O$6-$F27)/7)+1)-MAX(0,INT((O$5-1-$F27)/7)+1)),IF($D27="Fortnightly",(MAX(0,INT((O$6-$F27)/14)+1)-MAX(0,INT((O$5-1-$F27)/14)+1)),IF($D27="Monthly",((DATE(YEAR(O$5),MONTH(O$5),MIN(DAY($F27),DAY(EOMONTH(O$5,0))))&gt;=MAX(O$5,$F27))*(DATE(YEAR(O$5),MONTH(O$5),MIN(DAY($F27),DAY(EOMONTH(O$5,0))))&lt;=O$6)*(MOD((YEAR(O$5)-YEAR($F27))*12+MONTH(O$5)-MONTH($F27),1)=0)+(MONTH(O$6)&lt;&gt;MONTH(O$5))*(DATE(YEAR(O$6),MONTH(O$6),MIN(DAY($F27),DAY(EOMONTH(O$6,0))))&gt;=$F27)*(DATE(YEAR(O$6),MONTH(O$6),MIN(DAY($F27),DAY(EOMONTH(O$6,0))))&gt;=O$5)*(DATE(YEAR(O$6),MONTH(O$6),MIN(DAY($F27),DAY(EOMONTH(O$6,0))))&lt;=O$6)*(MOD((YEAR(O$6)-YEAR($F27))*12+MONTH(O$6)-MONTH($F27),1)=0)),IF($D27="Quarterly",((DATE(YEAR(O$5),MONTH(O$5),MIN(DAY($F27),DAY(EOMONTH(O$5,0))))&gt;=MAX(O$5,$F27))*(DATE(YEAR(O$5),MONTH(O$5),MIN(DAY($F27),DAY(EOMONTH(O$5,0))))&lt;=O$6)*(MOD((YEAR(O$5)-YEAR($F27))*12+MONTH(O$5)-MONTH($F27),3)=0)+(MONTH(O$6)&lt;&gt;MONTH(O$5))*(DATE(YEAR(O$6),MONTH(O$6),MIN(DAY($F27),DAY(EOMONTH(O$6,0))))&gt;=$F27)*(DATE(YEAR(O$6),MONTH(O$6),MIN(DAY($F27),DAY(EOMONTH(O$6,0))))&gt;=O$5)*(DATE(YEAR(O$6),MONTH(O$6),MIN(DAY($F27),DAY(EOMONTH(O$6,0))))&lt;=O$6)*(MOD((YEAR(O$6)-YEAR($F27))*12+MONTH(O$6)-MONTH($F27),3)=0)),IF($D27="One-off",($F27&gt;=O$5)*($F27&lt;=O$6),0))))))</f>
        <v>0</v>
      </c>
      <c r="P27" s="19">
        <f>IF(OR($E27="",$F27="",$D27=""),0,IF(OR($C27="Loan and finance repayments",$C27="VAT and taxes",$C27="Capital expenditure",$C27="Licences and regulatory fees"),1,1+CostAdj)*$E27*IF($D27="Weekly",(MAX(0,INT((P$6-$F27)/7)+1)-MAX(0,INT((P$5-1-$F27)/7)+1)),IF($D27="Fortnightly",(MAX(0,INT((P$6-$F27)/14)+1)-MAX(0,INT((P$5-1-$F27)/14)+1)),IF($D27="Monthly",((DATE(YEAR(P$5),MONTH(P$5),MIN(DAY($F27),DAY(EOMONTH(P$5,0))))&gt;=MAX(P$5,$F27))*(DATE(YEAR(P$5),MONTH(P$5),MIN(DAY($F27),DAY(EOMONTH(P$5,0))))&lt;=P$6)*(MOD((YEAR(P$5)-YEAR($F27))*12+MONTH(P$5)-MONTH($F27),1)=0)+(MONTH(P$6)&lt;&gt;MONTH(P$5))*(DATE(YEAR(P$6),MONTH(P$6),MIN(DAY($F27),DAY(EOMONTH(P$6,0))))&gt;=$F27)*(DATE(YEAR(P$6),MONTH(P$6),MIN(DAY($F27),DAY(EOMONTH(P$6,0))))&gt;=P$5)*(DATE(YEAR(P$6),MONTH(P$6),MIN(DAY($F27),DAY(EOMONTH(P$6,0))))&lt;=P$6)*(MOD((YEAR(P$6)-YEAR($F27))*12+MONTH(P$6)-MONTH($F27),1)=0)),IF($D27="Quarterly",((DATE(YEAR(P$5),MONTH(P$5),MIN(DAY($F27),DAY(EOMONTH(P$5,0))))&gt;=MAX(P$5,$F27))*(DATE(YEAR(P$5),MONTH(P$5),MIN(DAY($F27),DAY(EOMONTH(P$5,0))))&lt;=P$6)*(MOD((YEAR(P$5)-YEAR($F27))*12+MONTH(P$5)-MONTH($F27),3)=0)+(MONTH(P$6)&lt;&gt;MONTH(P$5))*(DATE(YEAR(P$6),MONTH(P$6),MIN(DAY($F27),DAY(EOMONTH(P$6,0))))&gt;=$F27)*(DATE(YEAR(P$6),MONTH(P$6),MIN(DAY($F27),DAY(EOMONTH(P$6,0))))&gt;=P$5)*(DATE(YEAR(P$6),MONTH(P$6),MIN(DAY($F27),DAY(EOMONTH(P$6,0))))&lt;=P$6)*(MOD((YEAR(P$6)-YEAR($F27))*12+MONTH(P$6)-MONTH($F27),3)=0)),IF($D27="One-off",($F27&gt;=P$5)*($F27&lt;=P$6),0))))))</f>
        <v>0</v>
      </c>
      <c r="Q27" s="19">
        <f>IF(OR($E27="",$F27="",$D27=""),0,IF(OR($C27="Loan and finance repayments",$C27="VAT and taxes",$C27="Capital expenditure",$C27="Licences and regulatory fees"),1,1+CostAdj)*$E27*IF($D27="Weekly",(MAX(0,INT((Q$6-$F27)/7)+1)-MAX(0,INT((Q$5-1-$F27)/7)+1)),IF($D27="Fortnightly",(MAX(0,INT((Q$6-$F27)/14)+1)-MAX(0,INT((Q$5-1-$F27)/14)+1)),IF($D27="Monthly",((DATE(YEAR(Q$5),MONTH(Q$5),MIN(DAY($F27),DAY(EOMONTH(Q$5,0))))&gt;=MAX(Q$5,$F27))*(DATE(YEAR(Q$5),MONTH(Q$5),MIN(DAY($F27),DAY(EOMONTH(Q$5,0))))&lt;=Q$6)*(MOD((YEAR(Q$5)-YEAR($F27))*12+MONTH(Q$5)-MONTH($F27),1)=0)+(MONTH(Q$6)&lt;&gt;MONTH(Q$5))*(DATE(YEAR(Q$6),MONTH(Q$6),MIN(DAY($F27),DAY(EOMONTH(Q$6,0))))&gt;=$F27)*(DATE(YEAR(Q$6),MONTH(Q$6),MIN(DAY($F27),DAY(EOMONTH(Q$6,0))))&gt;=Q$5)*(DATE(YEAR(Q$6),MONTH(Q$6),MIN(DAY($F27),DAY(EOMONTH(Q$6,0))))&lt;=Q$6)*(MOD((YEAR(Q$6)-YEAR($F27))*12+MONTH(Q$6)-MONTH($F27),1)=0)),IF($D27="Quarterly",((DATE(YEAR(Q$5),MONTH(Q$5),MIN(DAY($F27),DAY(EOMONTH(Q$5,0))))&gt;=MAX(Q$5,$F27))*(DATE(YEAR(Q$5),MONTH(Q$5),MIN(DAY($F27),DAY(EOMONTH(Q$5,0))))&lt;=Q$6)*(MOD((YEAR(Q$5)-YEAR($F27))*12+MONTH(Q$5)-MONTH($F27),3)=0)+(MONTH(Q$6)&lt;&gt;MONTH(Q$5))*(DATE(YEAR(Q$6),MONTH(Q$6),MIN(DAY($F27),DAY(EOMONTH(Q$6,0))))&gt;=$F27)*(DATE(YEAR(Q$6),MONTH(Q$6),MIN(DAY($F27),DAY(EOMONTH(Q$6,0))))&gt;=Q$5)*(DATE(YEAR(Q$6),MONTH(Q$6),MIN(DAY($F27),DAY(EOMONTH(Q$6,0))))&lt;=Q$6)*(MOD((YEAR(Q$6)-YEAR($F27))*12+MONTH(Q$6)-MONTH($F27),3)=0)),IF($D27="One-off",($F27&gt;=Q$5)*($F27&lt;=Q$6),0))))))</f>
        <v>0</v>
      </c>
      <c r="R27" s="19">
        <f>IF(OR($E27="",$F27="",$D27=""),0,IF(OR($C27="Loan and finance repayments",$C27="VAT and taxes",$C27="Capital expenditure",$C27="Licences and regulatory fees"),1,1+CostAdj)*$E27*IF($D27="Weekly",(MAX(0,INT((R$6-$F27)/7)+1)-MAX(0,INT((R$5-1-$F27)/7)+1)),IF($D27="Fortnightly",(MAX(0,INT((R$6-$F27)/14)+1)-MAX(0,INT((R$5-1-$F27)/14)+1)),IF($D27="Monthly",((DATE(YEAR(R$5),MONTH(R$5),MIN(DAY($F27),DAY(EOMONTH(R$5,0))))&gt;=MAX(R$5,$F27))*(DATE(YEAR(R$5),MONTH(R$5),MIN(DAY($F27),DAY(EOMONTH(R$5,0))))&lt;=R$6)*(MOD((YEAR(R$5)-YEAR($F27))*12+MONTH(R$5)-MONTH($F27),1)=0)+(MONTH(R$6)&lt;&gt;MONTH(R$5))*(DATE(YEAR(R$6),MONTH(R$6),MIN(DAY($F27),DAY(EOMONTH(R$6,0))))&gt;=$F27)*(DATE(YEAR(R$6),MONTH(R$6),MIN(DAY($F27),DAY(EOMONTH(R$6,0))))&gt;=R$5)*(DATE(YEAR(R$6),MONTH(R$6),MIN(DAY($F27),DAY(EOMONTH(R$6,0))))&lt;=R$6)*(MOD((YEAR(R$6)-YEAR($F27))*12+MONTH(R$6)-MONTH($F27),1)=0)),IF($D27="Quarterly",((DATE(YEAR(R$5),MONTH(R$5),MIN(DAY($F27),DAY(EOMONTH(R$5,0))))&gt;=MAX(R$5,$F27))*(DATE(YEAR(R$5),MONTH(R$5),MIN(DAY($F27),DAY(EOMONTH(R$5,0))))&lt;=R$6)*(MOD((YEAR(R$5)-YEAR($F27))*12+MONTH(R$5)-MONTH($F27),3)=0)+(MONTH(R$6)&lt;&gt;MONTH(R$5))*(DATE(YEAR(R$6),MONTH(R$6),MIN(DAY($F27),DAY(EOMONTH(R$6,0))))&gt;=$F27)*(DATE(YEAR(R$6),MONTH(R$6),MIN(DAY($F27),DAY(EOMONTH(R$6,0))))&gt;=R$5)*(DATE(YEAR(R$6),MONTH(R$6),MIN(DAY($F27),DAY(EOMONTH(R$6,0))))&lt;=R$6)*(MOD((YEAR(R$6)-YEAR($F27))*12+MONTH(R$6)-MONTH($F27),3)=0)),IF($D27="One-off",($F27&gt;=R$5)*($F27&lt;=R$6),0))))))</f>
        <v>0</v>
      </c>
      <c r="S27" s="19">
        <f>IF(OR($E27="",$F27="",$D27=""),0,IF(OR($C27="Loan and finance repayments",$C27="VAT and taxes",$C27="Capital expenditure",$C27="Licences and regulatory fees"),1,1+CostAdj)*$E27*IF($D27="Weekly",(MAX(0,INT((S$6-$F27)/7)+1)-MAX(0,INT((S$5-1-$F27)/7)+1)),IF($D27="Fortnightly",(MAX(0,INT((S$6-$F27)/14)+1)-MAX(0,INT((S$5-1-$F27)/14)+1)),IF($D27="Monthly",((DATE(YEAR(S$5),MONTH(S$5),MIN(DAY($F27),DAY(EOMONTH(S$5,0))))&gt;=MAX(S$5,$F27))*(DATE(YEAR(S$5),MONTH(S$5),MIN(DAY($F27),DAY(EOMONTH(S$5,0))))&lt;=S$6)*(MOD((YEAR(S$5)-YEAR($F27))*12+MONTH(S$5)-MONTH($F27),1)=0)+(MONTH(S$6)&lt;&gt;MONTH(S$5))*(DATE(YEAR(S$6),MONTH(S$6),MIN(DAY($F27),DAY(EOMONTH(S$6,0))))&gt;=$F27)*(DATE(YEAR(S$6),MONTH(S$6),MIN(DAY($F27),DAY(EOMONTH(S$6,0))))&gt;=S$5)*(DATE(YEAR(S$6),MONTH(S$6),MIN(DAY($F27),DAY(EOMONTH(S$6,0))))&lt;=S$6)*(MOD((YEAR(S$6)-YEAR($F27))*12+MONTH(S$6)-MONTH($F27),1)=0)),IF($D27="Quarterly",((DATE(YEAR(S$5),MONTH(S$5),MIN(DAY($F27),DAY(EOMONTH(S$5,0))))&gt;=MAX(S$5,$F27))*(DATE(YEAR(S$5),MONTH(S$5),MIN(DAY($F27),DAY(EOMONTH(S$5,0))))&lt;=S$6)*(MOD((YEAR(S$5)-YEAR($F27))*12+MONTH(S$5)-MONTH($F27),3)=0)+(MONTH(S$6)&lt;&gt;MONTH(S$5))*(DATE(YEAR(S$6),MONTH(S$6),MIN(DAY($F27),DAY(EOMONTH(S$6,0))))&gt;=$F27)*(DATE(YEAR(S$6),MONTH(S$6),MIN(DAY($F27),DAY(EOMONTH(S$6,0))))&gt;=S$5)*(DATE(YEAR(S$6),MONTH(S$6),MIN(DAY($F27),DAY(EOMONTH(S$6,0))))&lt;=S$6)*(MOD((YEAR(S$6)-YEAR($F27))*12+MONTH(S$6)-MONTH($F27),3)=0)),IF($D27="One-off",($F27&gt;=S$5)*($F27&lt;=S$6),0))))))</f>
        <v>0</v>
      </c>
      <c r="T27" s="19">
        <f>IF(OR($E27="",$F27="",$D27=""),0,IF(OR($C27="Loan and finance repayments",$C27="VAT and taxes",$C27="Capital expenditure",$C27="Licences and regulatory fees"),1,1+CostAdj)*$E27*IF($D27="Weekly",(MAX(0,INT((T$6-$F27)/7)+1)-MAX(0,INT((T$5-1-$F27)/7)+1)),IF($D27="Fortnightly",(MAX(0,INT((T$6-$F27)/14)+1)-MAX(0,INT((T$5-1-$F27)/14)+1)),IF($D27="Monthly",((DATE(YEAR(T$5),MONTH(T$5),MIN(DAY($F27),DAY(EOMONTH(T$5,0))))&gt;=MAX(T$5,$F27))*(DATE(YEAR(T$5),MONTH(T$5),MIN(DAY($F27),DAY(EOMONTH(T$5,0))))&lt;=T$6)*(MOD((YEAR(T$5)-YEAR($F27))*12+MONTH(T$5)-MONTH($F27),1)=0)+(MONTH(T$6)&lt;&gt;MONTH(T$5))*(DATE(YEAR(T$6),MONTH(T$6),MIN(DAY($F27),DAY(EOMONTH(T$6,0))))&gt;=$F27)*(DATE(YEAR(T$6),MONTH(T$6),MIN(DAY($F27),DAY(EOMONTH(T$6,0))))&gt;=T$5)*(DATE(YEAR(T$6),MONTH(T$6),MIN(DAY($F27),DAY(EOMONTH(T$6,0))))&lt;=T$6)*(MOD((YEAR(T$6)-YEAR($F27))*12+MONTH(T$6)-MONTH($F27),1)=0)),IF($D27="Quarterly",((DATE(YEAR(T$5),MONTH(T$5),MIN(DAY($F27),DAY(EOMONTH(T$5,0))))&gt;=MAX(T$5,$F27))*(DATE(YEAR(T$5),MONTH(T$5),MIN(DAY($F27),DAY(EOMONTH(T$5,0))))&lt;=T$6)*(MOD((YEAR(T$5)-YEAR($F27))*12+MONTH(T$5)-MONTH($F27),3)=0)+(MONTH(T$6)&lt;&gt;MONTH(T$5))*(DATE(YEAR(T$6),MONTH(T$6),MIN(DAY($F27),DAY(EOMONTH(T$6,0))))&gt;=$F27)*(DATE(YEAR(T$6),MONTH(T$6),MIN(DAY($F27),DAY(EOMONTH(T$6,0))))&gt;=T$5)*(DATE(YEAR(T$6),MONTH(T$6),MIN(DAY($F27),DAY(EOMONTH(T$6,0))))&lt;=T$6)*(MOD((YEAR(T$6)-YEAR($F27))*12+MONTH(T$6)-MONTH($F27),3)=0)),IF($D27="One-off",($F27&gt;=T$5)*($F27&lt;=T$6),0))))))</f>
        <v>0</v>
      </c>
      <c r="U27" s="36">
        <f>SUM(H27:T27)</f>
        <v>0</v>
      </c>
    </row>
    <row r="28" spans="1:21">
      <c r="A28" s="42">
        <v>20</v>
      </c>
      <c r="B28" s="7"/>
      <c r="C28" s="7"/>
      <c r="D28" s="7"/>
      <c r="E28" s="18"/>
      <c r="F28" s="17"/>
      <c r="G28" s="7"/>
      <c r="H28" s="19">
        <f>IF(OR($E28="",$F28="",$D28=""),0,IF(OR($C28="Loan and finance repayments",$C28="VAT and taxes",$C28="Capital expenditure",$C28="Licences and regulatory fees"),1,1+CostAdj)*$E28*IF($D28="Weekly",(MAX(0,INT((H$6-$F28)/7)+1)-MAX(0,INT((H$5-1-$F28)/7)+1)),IF($D28="Fortnightly",(MAX(0,INT((H$6-$F28)/14)+1)-MAX(0,INT((H$5-1-$F28)/14)+1)),IF($D28="Monthly",((DATE(YEAR(H$5),MONTH(H$5),MIN(DAY($F28),DAY(EOMONTH(H$5,0))))&gt;=MAX(H$5,$F28))*(DATE(YEAR(H$5),MONTH(H$5),MIN(DAY($F28),DAY(EOMONTH(H$5,0))))&lt;=H$6)*(MOD((YEAR(H$5)-YEAR($F28))*12+MONTH(H$5)-MONTH($F28),1)=0)+(MONTH(H$6)&lt;&gt;MONTH(H$5))*(DATE(YEAR(H$6),MONTH(H$6),MIN(DAY($F28),DAY(EOMONTH(H$6,0))))&gt;=$F28)*(DATE(YEAR(H$6),MONTH(H$6),MIN(DAY($F28),DAY(EOMONTH(H$6,0))))&gt;=H$5)*(DATE(YEAR(H$6),MONTH(H$6),MIN(DAY($F28),DAY(EOMONTH(H$6,0))))&lt;=H$6)*(MOD((YEAR(H$6)-YEAR($F28))*12+MONTH(H$6)-MONTH($F28),1)=0)),IF($D28="Quarterly",((DATE(YEAR(H$5),MONTH(H$5),MIN(DAY($F28),DAY(EOMONTH(H$5,0))))&gt;=MAX(H$5,$F28))*(DATE(YEAR(H$5),MONTH(H$5),MIN(DAY($F28),DAY(EOMONTH(H$5,0))))&lt;=H$6)*(MOD((YEAR(H$5)-YEAR($F28))*12+MONTH(H$5)-MONTH($F28),3)=0)+(MONTH(H$6)&lt;&gt;MONTH(H$5))*(DATE(YEAR(H$6),MONTH(H$6),MIN(DAY($F28),DAY(EOMONTH(H$6,0))))&gt;=$F28)*(DATE(YEAR(H$6),MONTH(H$6),MIN(DAY($F28),DAY(EOMONTH(H$6,0))))&gt;=H$5)*(DATE(YEAR(H$6),MONTH(H$6),MIN(DAY($F28),DAY(EOMONTH(H$6,0))))&lt;=H$6)*(MOD((YEAR(H$6)-YEAR($F28))*12+MONTH(H$6)-MONTH($F28),3)=0)),IF($D28="One-off",($F28&gt;=H$5)*($F28&lt;=H$6),0))))))</f>
        <v>0</v>
      </c>
      <c r="I28" s="19">
        <f>IF(OR($E28="",$F28="",$D28=""),0,IF(OR($C28="Loan and finance repayments",$C28="VAT and taxes",$C28="Capital expenditure",$C28="Licences and regulatory fees"),1,1+CostAdj)*$E28*IF($D28="Weekly",(MAX(0,INT((I$6-$F28)/7)+1)-MAX(0,INT((I$5-1-$F28)/7)+1)),IF($D28="Fortnightly",(MAX(0,INT((I$6-$F28)/14)+1)-MAX(0,INT((I$5-1-$F28)/14)+1)),IF($D28="Monthly",((DATE(YEAR(I$5),MONTH(I$5),MIN(DAY($F28),DAY(EOMONTH(I$5,0))))&gt;=MAX(I$5,$F28))*(DATE(YEAR(I$5),MONTH(I$5),MIN(DAY($F28),DAY(EOMONTH(I$5,0))))&lt;=I$6)*(MOD((YEAR(I$5)-YEAR($F28))*12+MONTH(I$5)-MONTH($F28),1)=0)+(MONTH(I$6)&lt;&gt;MONTH(I$5))*(DATE(YEAR(I$6),MONTH(I$6),MIN(DAY($F28),DAY(EOMONTH(I$6,0))))&gt;=$F28)*(DATE(YEAR(I$6),MONTH(I$6),MIN(DAY($F28),DAY(EOMONTH(I$6,0))))&gt;=I$5)*(DATE(YEAR(I$6),MONTH(I$6),MIN(DAY($F28),DAY(EOMONTH(I$6,0))))&lt;=I$6)*(MOD((YEAR(I$6)-YEAR($F28))*12+MONTH(I$6)-MONTH($F28),1)=0)),IF($D28="Quarterly",((DATE(YEAR(I$5),MONTH(I$5),MIN(DAY($F28),DAY(EOMONTH(I$5,0))))&gt;=MAX(I$5,$F28))*(DATE(YEAR(I$5),MONTH(I$5),MIN(DAY($F28),DAY(EOMONTH(I$5,0))))&lt;=I$6)*(MOD((YEAR(I$5)-YEAR($F28))*12+MONTH(I$5)-MONTH($F28),3)=0)+(MONTH(I$6)&lt;&gt;MONTH(I$5))*(DATE(YEAR(I$6),MONTH(I$6),MIN(DAY($F28),DAY(EOMONTH(I$6,0))))&gt;=$F28)*(DATE(YEAR(I$6),MONTH(I$6),MIN(DAY($F28),DAY(EOMONTH(I$6,0))))&gt;=I$5)*(DATE(YEAR(I$6),MONTH(I$6),MIN(DAY($F28),DAY(EOMONTH(I$6,0))))&lt;=I$6)*(MOD((YEAR(I$6)-YEAR($F28))*12+MONTH(I$6)-MONTH($F28),3)=0)),IF($D28="One-off",($F28&gt;=I$5)*($F28&lt;=I$6),0))))))</f>
        <v>0</v>
      </c>
      <c r="J28" s="19">
        <f>IF(OR($E28="",$F28="",$D28=""),0,IF(OR($C28="Loan and finance repayments",$C28="VAT and taxes",$C28="Capital expenditure",$C28="Licences and regulatory fees"),1,1+CostAdj)*$E28*IF($D28="Weekly",(MAX(0,INT((J$6-$F28)/7)+1)-MAX(0,INT((J$5-1-$F28)/7)+1)),IF($D28="Fortnightly",(MAX(0,INT((J$6-$F28)/14)+1)-MAX(0,INT((J$5-1-$F28)/14)+1)),IF($D28="Monthly",((DATE(YEAR(J$5),MONTH(J$5),MIN(DAY($F28),DAY(EOMONTH(J$5,0))))&gt;=MAX(J$5,$F28))*(DATE(YEAR(J$5),MONTH(J$5),MIN(DAY($F28),DAY(EOMONTH(J$5,0))))&lt;=J$6)*(MOD((YEAR(J$5)-YEAR($F28))*12+MONTH(J$5)-MONTH($F28),1)=0)+(MONTH(J$6)&lt;&gt;MONTH(J$5))*(DATE(YEAR(J$6),MONTH(J$6),MIN(DAY($F28),DAY(EOMONTH(J$6,0))))&gt;=$F28)*(DATE(YEAR(J$6),MONTH(J$6),MIN(DAY($F28),DAY(EOMONTH(J$6,0))))&gt;=J$5)*(DATE(YEAR(J$6),MONTH(J$6),MIN(DAY($F28),DAY(EOMONTH(J$6,0))))&lt;=J$6)*(MOD((YEAR(J$6)-YEAR($F28))*12+MONTH(J$6)-MONTH($F28),1)=0)),IF($D28="Quarterly",((DATE(YEAR(J$5),MONTH(J$5),MIN(DAY($F28),DAY(EOMONTH(J$5,0))))&gt;=MAX(J$5,$F28))*(DATE(YEAR(J$5),MONTH(J$5),MIN(DAY($F28),DAY(EOMONTH(J$5,0))))&lt;=J$6)*(MOD((YEAR(J$5)-YEAR($F28))*12+MONTH(J$5)-MONTH($F28),3)=0)+(MONTH(J$6)&lt;&gt;MONTH(J$5))*(DATE(YEAR(J$6),MONTH(J$6),MIN(DAY($F28),DAY(EOMONTH(J$6,0))))&gt;=$F28)*(DATE(YEAR(J$6),MONTH(J$6),MIN(DAY($F28),DAY(EOMONTH(J$6,0))))&gt;=J$5)*(DATE(YEAR(J$6),MONTH(J$6),MIN(DAY($F28),DAY(EOMONTH(J$6,0))))&lt;=J$6)*(MOD((YEAR(J$6)-YEAR($F28))*12+MONTH(J$6)-MONTH($F28),3)=0)),IF($D28="One-off",($F28&gt;=J$5)*($F28&lt;=J$6),0))))))</f>
        <v>0</v>
      </c>
      <c r="K28" s="19">
        <f>IF(OR($E28="",$F28="",$D28=""),0,IF(OR($C28="Loan and finance repayments",$C28="VAT and taxes",$C28="Capital expenditure",$C28="Licences and regulatory fees"),1,1+CostAdj)*$E28*IF($D28="Weekly",(MAX(0,INT((K$6-$F28)/7)+1)-MAX(0,INT((K$5-1-$F28)/7)+1)),IF($D28="Fortnightly",(MAX(0,INT((K$6-$F28)/14)+1)-MAX(0,INT((K$5-1-$F28)/14)+1)),IF($D28="Monthly",((DATE(YEAR(K$5),MONTH(K$5),MIN(DAY($F28),DAY(EOMONTH(K$5,0))))&gt;=MAX(K$5,$F28))*(DATE(YEAR(K$5),MONTH(K$5),MIN(DAY($F28),DAY(EOMONTH(K$5,0))))&lt;=K$6)*(MOD((YEAR(K$5)-YEAR($F28))*12+MONTH(K$5)-MONTH($F28),1)=0)+(MONTH(K$6)&lt;&gt;MONTH(K$5))*(DATE(YEAR(K$6),MONTH(K$6),MIN(DAY($F28),DAY(EOMONTH(K$6,0))))&gt;=$F28)*(DATE(YEAR(K$6),MONTH(K$6),MIN(DAY($F28),DAY(EOMONTH(K$6,0))))&gt;=K$5)*(DATE(YEAR(K$6),MONTH(K$6),MIN(DAY($F28),DAY(EOMONTH(K$6,0))))&lt;=K$6)*(MOD((YEAR(K$6)-YEAR($F28))*12+MONTH(K$6)-MONTH($F28),1)=0)),IF($D28="Quarterly",((DATE(YEAR(K$5),MONTH(K$5),MIN(DAY($F28),DAY(EOMONTH(K$5,0))))&gt;=MAX(K$5,$F28))*(DATE(YEAR(K$5),MONTH(K$5),MIN(DAY($F28),DAY(EOMONTH(K$5,0))))&lt;=K$6)*(MOD((YEAR(K$5)-YEAR($F28))*12+MONTH(K$5)-MONTH($F28),3)=0)+(MONTH(K$6)&lt;&gt;MONTH(K$5))*(DATE(YEAR(K$6),MONTH(K$6),MIN(DAY($F28),DAY(EOMONTH(K$6,0))))&gt;=$F28)*(DATE(YEAR(K$6),MONTH(K$6),MIN(DAY($F28),DAY(EOMONTH(K$6,0))))&gt;=K$5)*(DATE(YEAR(K$6),MONTH(K$6),MIN(DAY($F28),DAY(EOMONTH(K$6,0))))&lt;=K$6)*(MOD((YEAR(K$6)-YEAR($F28))*12+MONTH(K$6)-MONTH($F28),3)=0)),IF($D28="One-off",($F28&gt;=K$5)*($F28&lt;=K$6),0))))))</f>
        <v>0</v>
      </c>
      <c r="L28" s="19">
        <f>IF(OR($E28="",$F28="",$D28=""),0,IF(OR($C28="Loan and finance repayments",$C28="VAT and taxes",$C28="Capital expenditure",$C28="Licences and regulatory fees"),1,1+CostAdj)*$E28*IF($D28="Weekly",(MAX(0,INT((L$6-$F28)/7)+1)-MAX(0,INT((L$5-1-$F28)/7)+1)),IF($D28="Fortnightly",(MAX(0,INT((L$6-$F28)/14)+1)-MAX(0,INT((L$5-1-$F28)/14)+1)),IF($D28="Monthly",((DATE(YEAR(L$5),MONTH(L$5),MIN(DAY($F28),DAY(EOMONTH(L$5,0))))&gt;=MAX(L$5,$F28))*(DATE(YEAR(L$5),MONTH(L$5),MIN(DAY($F28),DAY(EOMONTH(L$5,0))))&lt;=L$6)*(MOD((YEAR(L$5)-YEAR($F28))*12+MONTH(L$5)-MONTH($F28),1)=0)+(MONTH(L$6)&lt;&gt;MONTH(L$5))*(DATE(YEAR(L$6),MONTH(L$6),MIN(DAY($F28),DAY(EOMONTH(L$6,0))))&gt;=$F28)*(DATE(YEAR(L$6),MONTH(L$6),MIN(DAY($F28),DAY(EOMONTH(L$6,0))))&gt;=L$5)*(DATE(YEAR(L$6),MONTH(L$6),MIN(DAY($F28),DAY(EOMONTH(L$6,0))))&lt;=L$6)*(MOD((YEAR(L$6)-YEAR($F28))*12+MONTH(L$6)-MONTH($F28),1)=0)),IF($D28="Quarterly",((DATE(YEAR(L$5),MONTH(L$5),MIN(DAY($F28),DAY(EOMONTH(L$5,0))))&gt;=MAX(L$5,$F28))*(DATE(YEAR(L$5),MONTH(L$5),MIN(DAY($F28),DAY(EOMONTH(L$5,0))))&lt;=L$6)*(MOD((YEAR(L$5)-YEAR($F28))*12+MONTH(L$5)-MONTH($F28),3)=0)+(MONTH(L$6)&lt;&gt;MONTH(L$5))*(DATE(YEAR(L$6),MONTH(L$6),MIN(DAY($F28),DAY(EOMONTH(L$6,0))))&gt;=$F28)*(DATE(YEAR(L$6),MONTH(L$6),MIN(DAY($F28),DAY(EOMONTH(L$6,0))))&gt;=L$5)*(DATE(YEAR(L$6),MONTH(L$6),MIN(DAY($F28),DAY(EOMONTH(L$6,0))))&lt;=L$6)*(MOD((YEAR(L$6)-YEAR($F28))*12+MONTH(L$6)-MONTH($F28),3)=0)),IF($D28="One-off",($F28&gt;=L$5)*($F28&lt;=L$6),0))))))</f>
        <v>0</v>
      </c>
      <c r="M28" s="19">
        <f>IF(OR($E28="",$F28="",$D28=""),0,IF(OR($C28="Loan and finance repayments",$C28="VAT and taxes",$C28="Capital expenditure",$C28="Licences and regulatory fees"),1,1+CostAdj)*$E28*IF($D28="Weekly",(MAX(0,INT((M$6-$F28)/7)+1)-MAX(0,INT((M$5-1-$F28)/7)+1)),IF($D28="Fortnightly",(MAX(0,INT((M$6-$F28)/14)+1)-MAX(0,INT((M$5-1-$F28)/14)+1)),IF($D28="Monthly",((DATE(YEAR(M$5),MONTH(M$5),MIN(DAY($F28),DAY(EOMONTH(M$5,0))))&gt;=MAX(M$5,$F28))*(DATE(YEAR(M$5),MONTH(M$5),MIN(DAY($F28),DAY(EOMONTH(M$5,0))))&lt;=M$6)*(MOD((YEAR(M$5)-YEAR($F28))*12+MONTH(M$5)-MONTH($F28),1)=0)+(MONTH(M$6)&lt;&gt;MONTH(M$5))*(DATE(YEAR(M$6),MONTH(M$6),MIN(DAY($F28),DAY(EOMONTH(M$6,0))))&gt;=$F28)*(DATE(YEAR(M$6),MONTH(M$6),MIN(DAY($F28),DAY(EOMONTH(M$6,0))))&gt;=M$5)*(DATE(YEAR(M$6),MONTH(M$6),MIN(DAY($F28),DAY(EOMONTH(M$6,0))))&lt;=M$6)*(MOD((YEAR(M$6)-YEAR($F28))*12+MONTH(M$6)-MONTH($F28),1)=0)),IF($D28="Quarterly",((DATE(YEAR(M$5),MONTH(M$5),MIN(DAY($F28),DAY(EOMONTH(M$5,0))))&gt;=MAX(M$5,$F28))*(DATE(YEAR(M$5),MONTH(M$5),MIN(DAY($F28),DAY(EOMONTH(M$5,0))))&lt;=M$6)*(MOD((YEAR(M$5)-YEAR($F28))*12+MONTH(M$5)-MONTH($F28),3)=0)+(MONTH(M$6)&lt;&gt;MONTH(M$5))*(DATE(YEAR(M$6),MONTH(M$6),MIN(DAY($F28),DAY(EOMONTH(M$6,0))))&gt;=$F28)*(DATE(YEAR(M$6),MONTH(M$6),MIN(DAY($F28),DAY(EOMONTH(M$6,0))))&gt;=M$5)*(DATE(YEAR(M$6),MONTH(M$6),MIN(DAY($F28),DAY(EOMONTH(M$6,0))))&lt;=M$6)*(MOD((YEAR(M$6)-YEAR($F28))*12+MONTH(M$6)-MONTH($F28),3)=0)),IF($D28="One-off",($F28&gt;=M$5)*($F28&lt;=M$6),0))))))</f>
        <v>0</v>
      </c>
      <c r="N28" s="19">
        <f>IF(OR($E28="",$F28="",$D28=""),0,IF(OR($C28="Loan and finance repayments",$C28="VAT and taxes",$C28="Capital expenditure",$C28="Licences and regulatory fees"),1,1+CostAdj)*$E28*IF($D28="Weekly",(MAX(0,INT((N$6-$F28)/7)+1)-MAX(0,INT((N$5-1-$F28)/7)+1)),IF($D28="Fortnightly",(MAX(0,INT((N$6-$F28)/14)+1)-MAX(0,INT((N$5-1-$F28)/14)+1)),IF($D28="Monthly",((DATE(YEAR(N$5),MONTH(N$5),MIN(DAY($F28),DAY(EOMONTH(N$5,0))))&gt;=MAX(N$5,$F28))*(DATE(YEAR(N$5),MONTH(N$5),MIN(DAY($F28),DAY(EOMONTH(N$5,0))))&lt;=N$6)*(MOD((YEAR(N$5)-YEAR($F28))*12+MONTH(N$5)-MONTH($F28),1)=0)+(MONTH(N$6)&lt;&gt;MONTH(N$5))*(DATE(YEAR(N$6),MONTH(N$6),MIN(DAY($F28),DAY(EOMONTH(N$6,0))))&gt;=$F28)*(DATE(YEAR(N$6),MONTH(N$6),MIN(DAY($F28),DAY(EOMONTH(N$6,0))))&gt;=N$5)*(DATE(YEAR(N$6),MONTH(N$6),MIN(DAY($F28),DAY(EOMONTH(N$6,0))))&lt;=N$6)*(MOD((YEAR(N$6)-YEAR($F28))*12+MONTH(N$6)-MONTH($F28),1)=0)),IF($D28="Quarterly",((DATE(YEAR(N$5),MONTH(N$5),MIN(DAY($F28),DAY(EOMONTH(N$5,0))))&gt;=MAX(N$5,$F28))*(DATE(YEAR(N$5),MONTH(N$5),MIN(DAY($F28),DAY(EOMONTH(N$5,0))))&lt;=N$6)*(MOD((YEAR(N$5)-YEAR($F28))*12+MONTH(N$5)-MONTH($F28),3)=0)+(MONTH(N$6)&lt;&gt;MONTH(N$5))*(DATE(YEAR(N$6),MONTH(N$6),MIN(DAY($F28),DAY(EOMONTH(N$6,0))))&gt;=$F28)*(DATE(YEAR(N$6),MONTH(N$6),MIN(DAY($F28),DAY(EOMONTH(N$6,0))))&gt;=N$5)*(DATE(YEAR(N$6),MONTH(N$6),MIN(DAY($F28),DAY(EOMONTH(N$6,0))))&lt;=N$6)*(MOD((YEAR(N$6)-YEAR($F28))*12+MONTH(N$6)-MONTH($F28),3)=0)),IF($D28="One-off",($F28&gt;=N$5)*($F28&lt;=N$6),0))))))</f>
        <v>0</v>
      </c>
      <c r="O28" s="19">
        <f>IF(OR($E28="",$F28="",$D28=""),0,IF(OR($C28="Loan and finance repayments",$C28="VAT and taxes",$C28="Capital expenditure",$C28="Licences and regulatory fees"),1,1+CostAdj)*$E28*IF($D28="Weekly",(MAX(0,INT((O$6-$F28)/7)+1)-MAX(0,INT((O$5-1-$F28)/7)+1)),IF($D28="Fortnightly",(MAX(0,INT((O$6-$F28)/14)+1)-MAX(0,INT((O$5-1-$F28)/14)+1)),IF($D28="Monthly",((DATE(YEAR(O$5),MONTH(O$5),MIN(DAY($F28),DAY(EOMONTH(O$5,0))))&gt;=MAX(O$5,$F28))*(DATE(YEAR(O$5),MONTH(O$5),MIN(DAY($F28),DAY(EOMONTH(O$5,0))))&lt;=O$6)*(MOD((YEAR(O$5)-YEAR($F28))*12+MONTH(O$5)-MONTH($F28),1)=0)+(MONTH(O$6)&lt;&gt;MONTH(O$5))*(DATE(YEAR(O$6),MONTH(O$6),MIN(DAY($F28),DAY(EOMONTH(O$6,0))))&gt;=$F28)*(DATE(YEAR(O$6),MONTH(O$6),MIN(DAY($F28),DAY(EOMONTH(O$6,0))))&gt;=O$5)*(DATE(YEAR(O$6),MONTH(O$6),MIN(DAY($F28),DAY(EOMONTH(O$6,0))))&lt;=O$6)*(MOD((YEAR(O$6)-YEAR($F28))*12+MONTH(O$6)-MONTH($F28),1)=0)),IF($D28="Quarterly",((DATE(YEAR(O$5),MONTH(O$5),MIN(DAY($F28),DAY(EOMONTH(O$5,0))))&gt;=MAX(O$5,$F28))*(DATE(YEAR(O$5),MONTH(O$5),MIN(DAY($F28),DAY(EOMONTH(O$5,0))))&lt;=O$6)*(MOD((YEAR(O$5)-YEAR($F28))*12+MONTH(O$5)-MONTH($F28),3)=0)+(MONTH(O$6)&lt;&gt;MONTH(O$5))*(DATE(YEAR(O$6),MONTH(O$6),MIN(DAY($F28),DAY(EOMONTH(O$6,0))))&gt;=$F28)*(DATE(YEAR(O$6),MONTH(O$6),MIN(DAY($F28),DAY(EOMONTH(O$6,0))))&gt;=O$5)*(DATE(YEAR(O$6),MONTH(O$6),MIN(DAY($F28),DAY(EOMONTH(O$6,0))))&lt;=O$6)*(MOD((YEAR(O$6)-YEAR($F28))*12+MONTH(O$6)-MONTH($F28),3)=0)),IF($D28="One-off",($F28&gt;=O$5)*($F28&lt;=O$6),0))))))</f>
        <v>0</v>
      </c>
      <c r="P28" s="19">
        <f>IF(OR($E28="",$F28="",$D28=""),0,IF(OR($C28="Loan and finance repayments",$C28="VAT and taxes",$C28="Capital expenditure",$C28="Licences and regulatory fees"),1,1+CostAdj)*$E28*IF($D28="Weekly",(MAX(0,INT((P$6-$F28)/7)+1)-MAX(0,INT((P$5-1-$F28)/7)+1)),IF($D28="Fortnightly",(MAX(0,INT((P$6-$F28)/14)+1)-MAX(0,INT((P$5-1-$F28)/14)+1)),IF($D28="Monthly",((DATE(YEAR(P$5),MONTH(P$5),MIN(DAY($F28),DAY(EOMONTH(P$5,0))))&gt;=MAX(P$5,$F28))*(DATE(YEAR(P$5),MONTH(P$5),MIN(DAY($F28),DAY(EOMONTH(P$5,0))))&lt;=P$6)*(MOD((YEAR(P$5)-YEAR($F28))*12+MONTH(P$5)-MONTH($F28),1)=0)+(MONTH(P$6)&lt;&gt;MONTH(P$5))*(DATE(YEAR(P$6),MONTH(P$6),MIN(DAY($F28),DAY(EOMONTH(P$6,0))))&gt;=$F28)*(DATE(YEAR(P$6),MONTH(P$6),MIN(DAY($F28),DAY(EOMONTH(P$6,0))))&gt;=P$5)*(DATE(YEAR(P$6),MONTH(P$6),MIN(DAY($F28),DAY(EOMONTH(P$6,0))))&lt;=P$6)*(MOD((YEAR(P$6)-YEAR($F28))*12+MONTH(P$6)-MONTH($F28),1)=0)),IF($D28="Quarterly",((DATE(YEAR(P$5),MONTH(P$5),MIN(DAY($F28),DAY(EOMONTH(P$5,0))))&gt;=MAX(P$5,$F28))*(DATE(YEAR(P$5),MONTH(P$5),MIN(DAY($F28),DAY(EOMONTH(P$5,0))))&lt;=P$6)*(MOD((YEAR(P$5)-YEAR($F28))*12+MONTH(P$5)-MONTH($F28),3)=0)+(MONTH(P$6)&lt;&gt;MONTH(P$5))*(DATE(YEAR(P$6),MONTH(P$6),MIN(DAY($F28),DAY(EOMONTH(P$6,0))))&gt;=$F28)*(DATE(YEAR(P$6),MONTH(P$6),MIN(DAY($F28),DAY(EOMONTH(P$6,0))))&gt;=P$5)*(DATE(YEAR(P$6),MONTH(P$6),MIN(DAY($F28),DAY(EOMONTH(P$6,0))))&lt;=P$6)*(MOD((YEAR(P$6)-YEAR($F28))*12+MONTH(P$6)-MONTH($F28),3)=0)),IF($D28="One-off",($F28&gt;=P$5)*($F28&lt;=P$6),0))))))</f>
        <v>0</v>
      </c>
      <c r="Q28" s="19">
        <f>IF(OR($E28="",$F28="",$D28=""),0,IF(OR($C28="Loan and finance repayments",$C28="VAT and taxes",$C28="Capital expenditure",$C28="Licences and regulatory fees"),1,1+CostAdj)*$E28*IF($D28="Weekly",(MAX(0,INT((Q$6-$F28)/7)+1)-MAX(0,INT((Q$5-1-$F28)/7)+1)),IF($D28="Fortnightly",(MAX(0,INT((Q$6-$F28)/14)+1)-MAX(0,INT((Q$5-1-$F28)/14)+1)),IF($D28="Monthly",((DATE(YEAR(Q$5),MONTH(Q$5),MIN(DAY($F28),DAY(EOMONTH(Q$5,0))))&gt;=MAX(Q$5,$F28))*(DATE(YEAR(Q$5),MONTH(Q$5),MIN(DAY($F28),DAY(EOMONTH(Q$5,0))))&lt;=Q$6)*(MOD((YEAR(Q$5)-YEAR($F28))*12+MONTH(Q$5)-MONTH($F28),1)=0)+(MONTH(Q$6)&lt;&gt;MONTH(Q$5))*(DATE(YEAR(Q$6),MONTH(Q$6),MIN(DAY($F28),DAY(EOMONTH(Q$6,0))))&gt;=$F28)*(DATE(YEAR(Q$6),MONTH(Q$6),MIN(DAY($F28),DAY(EOMONTH(Q$6,0))))&gt;=Q$5)*(DATE(YEAR(Q$6),MONTH(Q$6),MIN(DAY($F28),DAY(EOMONTH(Q$6,0))))&lt;=Q$6)*(MOD((YEAR(Q$6)-YEAR($F28))*12+MONTH(Q$6)-MONTH($F28),1)=0)),IF($D28="Quarterly",((DATE(YEAR(Q$5),MONTH(Q$5),MIN(DAY($F28),DAY(EOMONTH(Q$5,0))))&gt;=MAX(Q$5,$F28))*(DATE(YEAR(Q$5),MONTH(Q$5),MIN(DAY($F28),DAY(EOMONTH(Q$5,0))))&lt;=Q$6)*(MOD((YEAR(Q$5)-YEAR($F28))*12+MONTH(Q$5)-MONTH($F28),3)=0)+(MONTH(Q$6)&lt;&gt;MONTH(Q$5))*(DATE(YEAR(Q$6),MONTH(Q$6),MIN(DAY($F28),DAY(EOMONTH(Q$6,0))))&gt;=$F28)*(DATE(YEAR(Q$6),MONTH(Q$6),MIN(DAY($F28),DAY(EOMONTH(Q$6,0))))&gt;=Q$5)*(DATE(YEAR(Q$6),MONTH(Q$6),MIN(DAY($F28),DAY(EOMONTH(Q$6,0))))&lt;=Q$6)*(MOD((YEAR(Q$6)-YEAR($F28))*12+MONTH(Q$6)-MONTH($F28),3)=0)),IF($D28="One-off",($F28&gt;=Q$5)*($F28&lt;=Q$6),0))))))</f>
        <v>0</v>
      </c>
      <c r="R28" s="19">
        <f>IF(OR($E28="",$F28="",$D28=""),0,IF(OR($C28="Loan and finance repayments",$C28="VAT and taxes",$C28="Capital expenditure",$C28="Licences and regulatory fees"),1,1+CostAdj)*$E28*IF($D28="Weekly",(MAX(0,INT((R$6-$F28)/7)+1)-MAX(0,INT((R$5-1-$F28)/7)+1)),IF($D28="Fortnightly",(MAX(0,INT((R$6-$F28)/14)+1)-MAX(0,INT((R$5-1-$F28)/14)+1)),IF($D28="Monthly",((DATE(YEAR(R$5),MONTH(R$5),MIN(DAY($F28),DAY(EOMONTH(R$5,0))))&gt;=MAX(R$5,$F28))*(DATE(YEAR(R$5),MONTH(R$5),MIN(DAY($F28),DAY(EOMONTH(R$5,0))))&lt;=R$6)*(MOD((YEAR(R$5)-YEAR($F28))*12+MONTH(R$5)-MONTH($F28),1)=0)+(MONTH(R$6)&lt;&gt;MONTH(R$5))*(DATE(YEAR(R$6),MONTH(R$6),MIN(DAY($F28),DAY(EOMONTH(R$6,0))))&gt;=$F28)*(DATE(YEAR(R$6),MONTH(R$6),MIN(DAY($F28),DAY(EOMONTH(R$6,0))))&gt;=R$5)*(DATE(YEAR(R$6),MONTH(R$6),MIN(DAY($F28),DAY(EOMONTH(R$6,0))))&lt;=R$6)*(MOD((YEAR(R$6)-YEAR($F28))*12+MONTH(R$6)-MONTH($F28),1)=0)),IF($D28="Quarterly",((DATE(YEAR(R$5),MONTH(R$5),MIN(DAY($F28),DAY(EOMONTH(R$5,0))))&gt;=MAX(R$5,$F28))*(DATE(YEAR(R$5),MONTH(R$5),MIN(DAY($F28),DAY(EOMONTH(R$5,0))))&lt;=R$6)*(MOD((YEAR(R$5)-YEAR($F28))*12+MONTH(R$5)-MONTH($F28),3)=0)+(MONTH(R$6)&lt;&gt;MONTH(R$5))*(DATE(YEAR(R$6),MONTH(R$6),MIN(DAY($F28),DAY(EOMONTH(R$6,0))))&gt;=$F28)*(DATE(YEAR(R$6),MONTH(R$6),MIN(DAY($F28),DAY(EOMONTH(R$6,0))))&gt;=R$5)*(DATE(YEAR(R$6),MONTH(R$6),MIN(DAY($F28),DAY(EOMONTH(R$6,0))))&lt;=R$6)*(MOD((YEAR(R$6)-YEAR($F28))*12+MONTH(R$6)-MONTH($F28),3)=0)),IF($D28="One-off",($F28&gt;=R$5)*($F28&lt;=R$6),0))))))</f>
        <v>0</v>
      </c>
      <c r="S28" s="19">
        <f>IF(OR($E28="",$F28="",$D28=""),0,IF(OR($C28="Loan and finance repayments",$C28="VAT and taxes",$C28="Capital expenditure",$C28="Licences and regulatory fees"),1,1+CostAdj)*$E28*IF($D28="Weekly",(MAX(0,INT((S$6-$F28)/7)+1)-MAX(0,INT((S$5-1-$F28)/7)+1)),IF($D28="Fortnightly",(MAX(0,INT((S$6-$F28)/14)+1)-MAX(0,INT((S$5-1-$F28)/14)+1)),IF($D28="Monthly",((DATE(YEAR(S$5),MONTH(S$5),MIN(DAY($F28),DAY(EOMONTH(S$5,0))))&gt;=MAX(S$5,$F28))*(DATE(YEAR(S$5),MONTH(S$5),MIN(DAY($F28),DAY(EOMONTH(S$5,0))))&lt;=S$6)*(MOD((YEAR(S$5)-YEAR($F28))*12+MONTH(S$5)-MONTH($F28),1)=0)+(MONTH(S$6)&lt;&gt;MONTH(S$5))*(DATE(YEAR(S$6),MONTH(S$6),MIN(DAY($F28),DAY(EOMONTH(S$6,0))))&gt;=$F28)*(DATE(YEAR(S$6),MONTH(S$6),MIN(DAY($F28),DAY(EOMONTH(S$6,0))))&gt;=S$5)*(DATE(YEAR(S$6),MONTH(S$6),MIN(DAY($F28),DAY(EOMONTH(S$6,0))))&lt;=S$6)*(MOD((YEAR(S$6)-YEAR($F28))*12+MONTH(S$6)-MONTH($F28),1)=0)),IF($D28="Quarterly",((DATE(YEAR(S$5),MONTH(S$5),MIN(DAY($F28),DAY(EOMONTH(S$5,0))))&gt;=MAX(S$5,$F28))*(DATE(YEAR(S$5),MONTH(S$5),MIN(DAY($F28),DAY(EOMONTH(S$5,0))))&lt;=S$6)*(MOD((YEAR(S$5)-YEAR($F28))*12+MONTH(S$5)-MONTH($F28),3)=0)+(MONTH(S$6)&lt;&gt;MONTH(S$5))*(DATE(YEAR(S$6),MONTH(S$6),MIN(DAY($F28),DAY(EOMONTH(S$6,0))))&gt;=$F28)*(DATE(YEAR(S$6),MONTH(S$6),MIN(DAY($F28),DAY(EOMONTH(S$6,0))))&gt;=S$5)*(DATE(YEAR(S$6),MONTH(S$6),MIN(DAY($F28),DAY(EOMONTH(S$6,0))))&lt;=S$6)*(MOD((YEAR(S$6)-YEAR($F28))*12+MONTH(S$6)-MONTH($F28),3)=0)),IF($D28="One-off",($F28&gt;=S$5)*($F28&lt;=S$6),0))))))</f>
        <v>0</v>
      </c>
      <c r="T28" s="19">
        <f>IF(OR($E28="",$F28="",$D28=""),0,IF(OR($C28="Loan and finance repayments",$C28="VAT and taxes",$C28="Capital expenditure",$C28="Licences and regulatory fees"),1,1+CostAdj)*$E28*IF($D28="Weekly",(MAX(0,INT((T$6-$F28)/7)+1)-MAX(0,INT((T$5-1-$F28)/7)+1)),IF($D28="Fortnightly",(MAX(0,INT((T$6-$F28)/14)+1)-MAX(0,INT((T$5-1-$F28)/14)+1)),IF($D28="Monthly",((DATE(YEAR(T$5),MONTH(T$5),MIN(DAY($F28),DAY(EOMONTH(T$5,0))))&gt;=MAX(T$5,$F28))*(DATE(YEAR(T$5),MONTH(T$5),MIN(DAY($F28),DAY(EOMONTH(T$5,0))))&lt;=T$6)*(MOD((YEAR(T$5)-YEAR($F28))*12+MONTH(T$5)-MONTH($F28),1)=0)+(MONTH(T$6)&lt;&gt;MONTH(T$5))*(DATE(YEAR(T$6),MONTH(T$6),MIN(DAY($F28),DAY(EOMONTH(T$6,0))))&gt;=$F28)*(DATE(YEAR(T$6),MONTH(T$6),MIN(DAY($F28),DAY(EOMONTH(T$6,0))))&gt;=T$5)*(DATE(YEAR(T$6),MONTH(T$6),MIN(DAY($F28),DAY(EOMONTH(T$6,0))))&lt;=T$6)*(MOD((YEAR(T$6)-YEAR($F28))*12+MONTH(T$6)-MONTH($F28),1)=0)),IF($D28="Quarterly",((DATE(YEAR(T$5),MONTH(T$5),MIN(DAY($F28),DAY(EOMONTH(T$5,0))))&gt;=MAX(T$5,$F28))*(DATE(YEAR(T$5),MONTH(T$5),MIN(DAY($F28),DAY(EOMONTH(T$5,0))))&lt;=T$6)*(MOD((YEAR(T$5)-YEAR($F28))*12+MONTH(T$5)-MONTH($F28),3)=0)+(MONTH(T$6)&lt;&gt;MONTH(T$5))*(DATE(YEAR(T$6),MONTH(T$6),MIN(DAY($F28),DAY(EOMONTH(T$6,0))))&gt;=$F28)*(DATE(YEAR(T$6),MONTH(T$6),MIN(DAY($F28),DAY(EOMONTH(T$6,0))))&gt;=T$5)*(DATE(YEAR(T$6),MONTH(T$6),MIN(DAY($F28),DAY(EOMONTH(T$6,0))))&lt;=T$6)*(MOD((YEAR(T$6)-YEAR($F28))*12+MONTH(T$6)-MONTH($F28),3)=0)),IF($D28="One-off",($F28&gt;=T$5)*($F28&lt;=T$6),0))))))</f>
        <v>0</v>
      </c>
      <c r="U28" s="36">
        <f>SUM(H28:T28)</f>
        <v>0</v>
      </c>
    </row>
    <row r="29" spans="1:21">
      <c r="A29" s="42">
        <v>21</v>
      </c>
      <c r="B29" s="7"/>
      <c r="C29" s="7"/>
      <c r="D29" s="7"/>
      <c r="E29" s="18"/>
      <c r="F29" s="17"/>
      <c r="G29" s="7"/>
      <c r="H29" s="19">
        <f>IF(OR($E29="",$F29="",$D29=""),0,IF(OR($C29="Loan and finance repayments",$C29="VAT and taxes",$C29="Capital expenditure",$C29="Licences and regulatory fees"),1,1+CostAdj)*$E29*IF($D29="Weekly",(MAX(0,INT((H$6-$F29)/7)+1)-MAX(0,INT((H$5-1-$F29)/7)+1)),IF($D29="Fortnightly",(MAX(0,INT((H$6-$F29)/14)+1)-MAX(0,INT((H$5-1-$F29)/14)+1)),IF($D29="Monthly",((DATE(YEAR(H$5),MONTH(H$5),MIN(DAY($F29),DAY(EOMONTH(H$5,0))))&gt;=MAX(H$5,$F29))*(DATE(YEAR(H$5),MONTH(H$5),MIN(DAY($F29),DAY(EOMONTH(H$5,0))))&lt;=H$6)*(MOD((YEAR(H$5)-YEAR($F29))*12+MONTH(H$5)-MONTH($F29),1)=0)+(MONTH(H$6)&lt;&gt;MONTH(H$5))*(DATE(YEAR(H$6),MONTH(H$6),MIN(DAY($F29),DAY(EOMONTH(H$6,0))))&gt;=$F29)*(DATE(YEAR(H$6),MONTH(H$6),MIN(DAY($F29),DAY(EOMONTH(H$6,0))))&gt;=H$5)*(DATE(YEAR(H$6),MONTH(H$6),MIN(DAY($F29),DAY(EOMONTH(H$6,0))))&lt;=H$6)*(MOD((YEAR(H$6)-YEAR($F29))*12+MONTH(H$6)-MONTH($F29),1)=0)),IF($D29="Quarterly",((DATE(YEAR(H$5),MONTH(H$5),MIN(DAY($F29),DAY(EOMONTH(H$5,0))))&gt;=MAX(H$5,$F29))*(DATE(YEAR(H$5),MONTH(H$5),MIN(DAY($F29),DAY(EOMONTH(H$5,0))))&lt;=H$6)*(MOD((YEAR(H$5)-YEAR($F29))*12+MONTH(H$5)-MONTH($F29),3)=0)+(MONTH(H$6)&lt;&gt;MONTH(H$5))*(DATE(YEAR(H$6),MONTH(H$6),MIN(DAY($F29),DAY(EOMONTH(H$6,0))))&gt;=$F29)*(DATE(YEAR(H$6),MONTH(H$6),MIN(DAY($F29),DAY(EOMONTH(H$6,0))))&gt;=H$5)*(DATE(YEAR(H$6),MONTH(H$6),MIN(DAY($F29),DAY(EOMONTH(H$6,0))))&lt;=H$6)*(MOD((YEAR(H$6)-YEAR($F29))*12+MONTH(H$6)-MONTH($F29),3)=0)),IF($D29="One-off",($F29&gt;=H$5)*($F29&lt;=H$6),0))))))</f>
        <v>0</v>
      </c>
      <c r="I29" s="19">
        <f>IF(OR($E29="",$F29="",$D29=""),0,IF(OR($C29="Loan and finance repayments",$C29="VAT and taxes",$C29="Capital expenditure",$C29="Licences and regulatory fees"),1,1+CostAdj)*$E29*IF($D29="Weekly",(MAX(0,INT((I$6-$F29)/7)+1)-MAX(0,INT((I$5-1-$F29)/7)+1)),IF($D29="Fortnightly",(MAX(0,INT((I$6-$F29)/14)+1)-MAX(0,INT((I$5-1-$F29)/14)+1)),IF($D29="Monthly",((DATE(YEAR(I$5),MONTH(I$5),MIN(DAY($F29),DAY(EOMONTH(I$5,0))))&gt;=MAX(I$5,$F29))*(DATE(YEAR(I$5),MONTH(I$5),MIN(DAY($F29),DAY(EOMONTH(I$5,0))))&lt;=I$6)*(MOD((YEAR(I$5)-YEAR($F29))*12+MONTH(I$5)-MONTH($F29),1)=0)+(MONTH(I$6)&lt;&gt;MONTH(I$5))*(DATE(YEAR(I$6),MONTH(I$6),MIN(DAY($F29),DAY(EOMONTH(I$6,0))))&gt;=$F29)*(DATE(YEAR(I$6),MONTH(I$6),MIN(DAY($F29),DAY(EOMONTH(I$6,0))))&gt;=I$5)*(DATE(YEAR(I$6),MONTH(I$6),MIN(DAY($F29),DAY(EOMONTH(I$6,0))))&lt;=I$6)*(MOD((YEAR(I$6)-YEAR($F29))*12+MONTH(I$6)-MONTH($F29),1)=0)),IF($D29="Quarterly",((DATE(YEAR(I$5),MONTH(I$5),MIN(DAY($F29),DAY(EOMONTH(I$5,0))))&gt;=MAX(I$5,$F29))*(DATE(YEAR(I$5),MONTH(I$5),MIN(DAY($F29),DAY(EOMONTH(I$5,0))))&lt;=I$6)*(MOD((YEAR(I$5)-YEAR($F29))*12+MONTH(I$5)-MONTH($F29),3)=0)+(MONTH(I$6)&lt;&gt;MONTH(I$5))*(DATE(YEAR(I$6),MONTH(I$6),MIN(DAY($F29),DAY(EOMONTH(I$6,0))))&gt;=$F29)*(DATE(YEAR(I$6),MONTH(I$6),MIN(DAY($F29),DAY(EOMONTH(I$6,0))))&gt;=I$5)*(DATE(YEAR(I$6),MONTH(I$6),MIN(DAY($F29),DAY(EOMONTH(I$6,0))))&lt;=I$6)*(MOD((YEAR(I$6)-YEAR($F29))*12+MONTH(I$6)-MONTH($F29),3)=0)),IF($D29="One-off",($F29&gt;=I$5)*($F29&lt;=I$6),0))))))</f>
        <v>0</v>
      </c>
      <c r="J29" s="19">
        <f>IF(OR($E29="",$F29="",$D29=""),0,IF(OR($C29="Loan and finance repayments",$C29="VAT and taxes",$C29="Capital expenditure",$C29="Licences and regulatory fees"),1,1+CostAdj)*$E29*IF($D29="Weekly",(MAX(0,INT((J$6-$F29)/7)+1)-MAX(0,INT((J$5-1-$F29)/7)+1)),IF($D29="Fortnightly",(MAX(0,INT((J$6-$F29)/14)+1)-MAX(0,INT((J$5-1-$F29)/14)+1)),IF($D29="Monthly",((DATE(YEAR(J$5),MONTH(J$5),MIN(DAY($F29),DAY(EOMONTH(J$5,0))))&gt;=MAX(J$5,$F29))*(DATE(YEAR(J$5),MONTH(J$5),MIN(DAY($F29),DAY(EOMONTH(J$5,0))))&lt;=J$6)*(MOD((YEAR(J$5)-YEAR($F29))*12+MONTH(J$5)-MONTH($F29),1)=0)+(MONTH(J$6)&lt;&gt;MONTH(J$5))*(DATE(YEAR(J$6),MONTH(J$6),MIN(DAY($F29),DAY(EOMONTH(J$6,0))))&gt;=$F29)*(DATE(YEAR(J$6),MONTH(J$6),MIN(DAY($F29),DAY(EOMONTH(J$6,0))))&gt;=J$5)*(DATE(YEAR(J$6),MONTH(J$6),MIN(DAY($F29),DAY(EOMONTH(J$6,0))))&lt;=J$6)*(MOD((YEAR(J$6)-YEAR($F29))*12+MONTH(J$6)-MONTH($F29),1)=0)),IF($D29="Quarterly",((DATE(YEAR(J$5),MONTH(J$5),MIN(DAY($F29),DAY(EOMONTH(J$5,0))))&gt;=MAX(J$5,$F29))*(DATE(YEAR(J$5),MONTH(J$5),MIN(DAY($F29),DAY(EOMONTH(J$5,0))))&lt;=J$6)*(MOD((YEAR(J$5)-YEAR($F29))*12+MONTH(J$5)-MONTH($F29),3)=0)+(MONTH(J$6)&lt;&gt;MONTH(J$5))*(DATE(YEAR(J$6),MONTH(J$6),MIN(DAY($F29),DAY(EOMONTH(J$6,0))))&gt;=$F29)*(DATE(YEAR(J$6),MONTH(J$6),MIN(DAY($F29),DAY(EOMONTH(J$6,0))))&gt;=J$5)*(DATE(YEAR(J$6),MONTH(J$6),MIN(DAY($F29),DAY(EOMONTH(J$6,0))))&lt;=J$6)*(MOD((YEAR(J$6)-YEAR($F29))*12+MONTH(J$6)-MONTH($F29),3)=0)),IF($D29="One-off",($F29&gt;=J$5)*($F29&lt;=J$6),0))))))</f>
        <v>0</v>
      </c>
      <c r="K29" s="19">
        <f>IF(OR($E29="",$F29="",$D29=""),0,IF(OR($C29="Loan and finance repayments",$C29="VAT and taxes",$C29="Capital expenditure",$C29="Licences and regulatory fees"),1,1+CostAdj)*$E29*IF($D29="Weekly",(MAX(0,INT((K$6-$F29)/7)+1)-MAX(0,INT((K$5-1-$F29)/7)+1)),IF($D29="Fortnightly",(MAX(0,INT((K$6-$F29)/14)+1)-MAX(0,INT((K$5-1-$F29)/14)+1)),IF($D29="Monthly",((DATE(YEAR(K$5),MONTH(K$5),MIN(DAY($F29),DAY(EOMONTH(K$5,0))))&gt;=MAX(K$5,$F29))*(DATE(YEAR(K$5),MONTH(K$5),MIN(DAY($F29),DAY(EOMONTH(K$5,0))))&lt;=K$6)*(MOD((YEAR(K$5)-YEAR($F29))*12+MONTH(K$5)-MONTH($F29),1)=0)+(MONTH(K$6)&lt;&gt;MONTH(K$5))*(DATE(YEAR(K$6),MONTH(K$6),MIN(DAY($F29),DAY(EOMONTH(K$6,0))))&gt;=$F29)*(DATE(YEAR(K$6),MONTH(K$6),MIN(DAY($F29),DAY(EOMONTH(K$6,0))))&gt;=K$5)*(DATE(YEAR(K$6),MONTH(K$6),MIN(DAY($F29),DAY(EOMONTH(K$6,0))))&lt;=K$6)*(MOD((YEAR(K$6)-YEAR($F29))*12+MONTH(K$6)-MONTH($F29),1)=0)),IF($D29="Quarterly",((DATE(YEAR(K$5),MONTH(K$5),MIN(DAY($F29),DAY(EOMONTH(K$5,0))))&gt;=MAX(K$5,$F29))*(DATE(YEAR(K$5),MONTH(K$5),MIN(DAY($F29),DAY(EOMONTH(K$5,0))))&lt;=K$6)*(MOD((YEAR(K$5)-YEAR($F29))*12+MONTH(K$5)-MONTH($F29),3)=0)+(MONTH(K$6)&lt;&gt;MONTH(K$5))*(DATE(YEAR(K$6),MONTH(K$6),MIN(DAY($F29),DAY(EOMONTH(K$6,0))))&gt;=$F29)*(DATE(YEAR(K$6),MONTH(K$6),MIN(DAY($F29),DAY(EOMONTH(K$6,0))))&gt;=K$5)*(DATE(YEAR(K$6),MONTH(K$6),MIN(DAY($F29),DAY(EOMONTH(K$6,0))))&lt;=K$6)*(MOD((YEAR(K$6)-YEAR($F29))*12+MONTH(K$6)-MONTH($F29),3)=0)),IF($D29="One-off",($F29&gt;=K$5)*($F29&lt;=K$6),0))))))</f>
        <v>0</v>
      </c>
      <c r="L29" s="19">
        <f>IF(OR($E29="",$F29="",$D29=""),0,IF(OR($C29="Loan and finance repayments",$C29="VAT and taxes",$C29="Capital expenditure",$C29="Licences and regulatory fees"),1,1+CostAdj)*$E29*IF($D29="Weekly",(MAX(0,INT((L$6-$F29)/7)+1)-MAX(0,INT((L$5-1-$F29)/7)+1)),IF($D29="Fortnightly",(MAX(0,INT((L$6-$F29)/14)+1)-MAX(0,INT((L$5-1-$F29)/14)+1)),IF($D29="Monthly",((DATE(YEAR(L$5),MONTH(L$5),MIN(DAY($F29),DAY(EOMONTH(L$5,0))))&gt;=MAX(L$5,$F29))*(DATE(YEAR(L$5),MONTH(L$5),MIN(DAY($F29),DAY(EOMONTH(L$5,0))))&lt;=L$6)*(MOD((YEAR(L$5)-YEAR($F29))*12+MONTH(L$5)-MONTH($F29),1)=0)+(MONTH(L$6)&lt;&gt;MONTH(L$5))*(DATE(YEAR(L$6),MONTH(L$6),MIN(DAY($F29),DAY(EOMONTH(L$6,0))))&gt;=$F29)*(DATE(YEAR(L$6),MONTH(L$6),MIN(DAY($F29),DAY(EOMONTH(L$6,0))))&gt;=L$5)*(DATE(YEAR(L$6),MONTH(L$6),MIN(DAY($F29),DAY(EOMONTH(L$6,0))))&lt;=L$6)*(MOD((YEAR(L$6)-YEAR($F29))*12+MONTH(L$6)-MONTH($F29),1)=0)),IF($D29="Quarterly",((DATE(YEAR(L$5),MONTH(L$5),MIN(DAY($F29),DAY(EOMONTH(L$5,0))))&gt;=MAX(L$5,$F29))*(DATE(YEAR(L$5),MONTH(L$5),MIN(DAY($F29),DAY(EOMONTH(L$5,0))))&lt;=L$6)*(MOD((YEAR(L$5)-YEAR($F29))*12+MONTH(L$5)-MONTH($F29),3)=0)+(MONTH(L$6)&lt;&gt;MONTH(L$5))*(DATE(YEAR(L$6),MONTH(L$6),MIN(DAY($F29),DAY(EOMONTH(L$6,0))))&gt;=$F29)*(DATE(YEAR(L$6),MONTH(L$6),MIN(DAY($F29),DAY(EOMONTH(L$6,0))))&gt;=L$5)*(DATE(YEAR(L$6),MONTH(L$6),MIN(DAY($F29),DAY(EOMONTH(L$6,0))))&lt;=L$6)*(MOD((YEAR(L$6)-YEAR($F29))*12+MONTH(L$6)-MONTH($F29),3)=0)),IF($D29="One-off",($F29&gt;=L$5)*($F29&lt;=L$6),0))))))</f>
        <v>0</v>
      </c>
      <c r="M29" s="19">
        <f>IF(OR($E29="",$F29="",$D29=""),0,IF(OR($C29="Loan and finance repayments",$C29="VAT and taxes",$C29="Capital expenditure",$C29="Licences and regulatory fees"),1,1+CostAdj)*$E29*IF($D29="Weekly",(MAX(0,INT((M$6-$F29)/7)+1)-MAX(0,INT((M$5-1-$F29)/7)+1)),IF($D29="Fortnightly",(MAX(0,INT((M$6-$F29)/14)+1)-MAX(0,INT((M$5-1-$F29)/14)+1)),IF($D29="Monthly",((DATE(YEAR(M$5),MONTH(M$5),MIN(DAY($F29),DAY(EOMONTH(M$5,0))))&gt;=MAX(M$5,$F29))*(DATE(YEAR(M$5),MONTH(M$5),MIN(DAY($F29),DAY(EOMONTH(M$5,0))))&lt;=M$6)*(MOD((YEAR(M$5)-YEAR($F29))*12+MONTH(M$5)-MONTH($F29),1)=0)+(MONTH(M$6)&lt;&gt;MONTH(M$5))*(DATE(YEAR(M$6),MONTH(M$6),MIN(DAY($F29),DAY(EOMONTH(M$6,0))))&gt;=$F29)*(DATE(YEAR(M$6),MONTH(M$6),MIN(DAY($F29),DAY(EOMONTH(M$6,0))))&gt;=M$5)*(DATE(YEAR(M$6),MONTH(M$6),MIN(DAY($F29),DAY(EOMONTH(M$6,0))))&lt;=M$6)*(MOD((YEAR(M$6)-YEAR($F29))*12+MONTH(M$6)-MONTH($F29),1)=0)),IF($D29="Quarterly",((DATE(YEAR(M$5),MONTH(M$5),MIN(DAY($F29),DAY(EOMONTH(M$5,0))))&gt;=MAX(M$5,$F29))*(DATE(YEAR(M$5),MONTH(M$5),MIN(DAY($F29),DAY(EOMONTH(M$5,0))))&lt;=M$6)*(MOD((YEAR(M$5)-YEAR($F29))*12+MONTH(M$5)-MONTH($F29),3)=0)+(MONTH(M$6)&lt;&gt;MONTH(M$5))*(DATE(YEAR(M$6),MONTH(M$6),MIN(DAY($F29),DAY(EOMONTH(M$6,0))))&gt;=$F29)*(DATE(YEAR(M$6),MONTH(M$6),MIN(DAY($F29),DAY(EOMONTH(M$6,0))))&gt;=M$5)*(DATE(YEAR(M$6),MONTH(M$6),MIN(DAY($F29),DAY(EOMONTH(M$6,0))))&lt;=M$6)*(MOD((YEAR(M$6)-YEAR($F29))*12+MONTH(M$6)-MONTH($F29),3)=0)),IF($D29="One-off",($F29&gt;=M$5)*($F29&lt;=M$6),0))))))</f>
        <v>0</v>
      </c>
      <c r="N29" s="19">
        <f>IF(OR($E29="",$F29="",$D29=""),0,IF(OR($C29="Loan and finance repayments",$C29="VAT and taxes",$C29="Capital expenditure",$C29="Licences and regulatory fees"),1,1+CostAdj)*$E29*IF($D29="Weekly",(MAX(0,INT((N$6-$F29)/7)+1)-MAX(0,INT((N$5-1-$F29)/7)+1)),IF($D29="Fortnightly",(MAX(0,INT((N$6-$F29)/14)+1)-MAX(0,INT((N$5-1-$F29)/14)+1)),IF($D29="Monthly",((DATE(YEAR(N$5),MONTH(N$5),MIN(DAY($F29),DAY(EOMONTH(N$5,0))))&gt;=MAX(N$5,$F29))*(DATE(YEAR(N$5),MONTH(N$5),MIN(DAY($F29),DAY(EOMONTH(N$5,0))))&lt;=N$6)*(MOD((YEAR(N$5)-YEAR($F29))*12+MONTH(N$5)-MONTH($F29),1)=0)+(MONTH(N$6)&lt;&gt;MONTH(N$5))*(DATE(YEAR(N$6),MONTH(N$6),MIN(DAY($F29),DAY(EOMONTH(N$6,0))))&gt;=$F29)*(DATE(YEAR(N$6),MONTH(N$6),MIN(DAY($F29),DAY(EOMONTH(N$6,0))))&gt;=N$5)*(DATE(YEAR(N$6),MONTH(N$6),MIN(DAY($F29),DAY(EOMONTH(N$6,0))))&lt;=N$6)*(MOD((YEAR(N$6)-YEAR($F29))*12+MONTH(N$6)-MONTH($F29),1)=0)),IF($D29="Quarterly",((DATE(YEAR(N$5),MONTH(N$5),MIN(DAY($F29),DAY(EOMONTH(N$5,0))))&gt;=MAX(N$5,$F29))*(DATE(YEAR(N$5),MONTH(N$5),MIN(DAY($F29),DAY(EOMONTH(N$5,0))))&lt;=N$6)*(MOD((YEAR(N$5)-YEAR($F29))*12+MONTH(N$5)-MONTH($F29),3)=0)+(MONTH(N$6)&lt;&gt;MONTH(N$5))*(DATE(YEAR(N$6),MONTH(N$6),MIN(DAY($F29),DAY(EOMONTH(N$6,0))))&gt;=$F29)*(DATE(YEAR(N$6),MONTH(N$6),MIN(DAY($F29),DAY(EOMONTH(N$6,0))))&gt;=N$5)*(DATE(YEAR(N$6),MONTH(N$6),MIN(DAY($F29),DAY(EOMONTH(N$6,0))))&lt;=N$6)*(MOD((YEAR(N$6)-YEAR($F29))*12+MONTH(N$6)-MONTH($F29),3)=0)),IF($D29="One-off",($F29&gt;=N$5)*($F29&lt;=N$6),0))))))</f>
        <v>0</v>
      </c>
      <c r="O29" s="19">
        <f>IF(OR($E29="",$F29="",$D29=""),0,IF(OR($C29="Loan and finance repayments",$C29="VAT and taxes",$C29="Capital expenditure",$C29="Licences and regulatory fees"),1,1+CostAdj)*$E29*IF($D29="Weekly",(MAX(0,INT((O$6-$F29)/7)+1)-MAX(0,INT((O$5-1-$F29)/7)+1)),IF($D29="Fortnightly",(MAX(0,INT((O$6-$F29)/14)+1)-MAX(0,INT((O$5-1-$F29)/14)+1)),IF($D29="Monthly",((DATE(YEAR(O$5),MONTH(O$5),MIN(DAY($F29),DAY(EOMONTH(O$5,0))))&gt;=MAX(O$5,$F29))*(DATE(YEAR(O$5),MONTH(O$5),MIN(DAY($F29),DAY(EOMONTH(O$5,0))))&lt;=O$6)*(MOD((YEAR(O$5)-YEAR($F29))*12+MONTH(O$5)-MONTH($F29),1)=0)+(MONTH(O$6)&lt;&gt;MONTH(O$5))*(DATE(YEAR(O$6),MONTH(O$6),MIN(DAY($F29),DAY(EOMONTH(O$6,0))))&gt;=$F29)*(DATE(YEAR(O$6),MONTH(O$6),MIN(DAY($F29),DAY(EOMONTH(O$6,0))))&gt;=O$5)*(DATE(YEAR(O$6),MONTH(O$6),MIN(DAY($F29),DAY(EOMONTH(O$6,0))))&lt;=O$6)*(MOD((YEAR(O$6)-YEAR($F29))*12+MONTH(O$6)-MONTH($F29),1)=0)),IF($D29="Quarterly",((DATE(YEAR(O$5),MONTH(O$5),MIN(DAY($F29),DAY(EOMONTH(O$5,0))))&gt;=MAX(O$5,$F29))*(DATE(YEAR(O$5),MONTH(O$5),MIN(DAY($F29),DAY(EOMONTH(O$5,0))))&lt;=O$6)*(MOD((YEAR(O$5)-YEAR($F29))*12+MONTH(O$5)-MONTH($F29),3)=0)+(MONTH(O$6)&lt;&gt;MONTH(O$5))*(DATE(YEAR(O$6),MONTH(O$6),MIN(DAY($F29),DAY(EOMONTH(O$6,0))))&gt;=$F29)*(DATE(YEAR(O$6),MONTH(O$6),MIN(DAY($F29),DAY(EOMONTH(O$6,0))))&gt;=O$5)*(DATE(YEAR(O$6),MONTH(O$6),MIN(DAY($F29),DAY(EOMONTH(O$6,0))))&lt;=O$6)*(MOD((YEAR(O$6)-YEAR($F29))*12+MONTH(O$6)-MONTH($F29),3)=0)),IF($D29="One-off",($F29&gt;=O$5)*($F29&lt;=O$6),0))))))</f>
        <v>0</v>
      </c>
      <c r="P29" s="19">
        <f>IF(OR($E29="",$F29="",$D29=""),0,IF(OR($C29="Loan and finance repayments",$C29="VAT and taxes",$C29="Capital expenditure",$C29="Licences and regulatory fees"),1,1+CostAdj)*$E29*IF($D29="Weekly",(MAX(0,INT((P$6-$F29)/7)+1)-MAX(0,INT((P$5-1-$F29)/7)+1)),IF($D29="Fortnightly",(MAX(0,INT((P$6-$F29)/14)+1)-MAX(0,INT((P$5-1-$F29)/14)+1)),IF($D29="Monthly",((DATE(YEAR(P$5),MONTH(P$5),MIN(DAY($F29),DAY(EOMONTH(P$5,0))))&gt;=MAX(P$5,$F29))*(DATE(YEAR(P$5),MONTH(P$5),MIN(DAY($F29),DAY(EOMONTH(P$5,0))))&lt;=P$6)*(MOD((YEAR(P$5)-YEAR($F29))*12+MONTH(P$5)-MONTH($F29),1)=0)+(MONTH(P$6)&lt;&gt;MONTH(P$5))*(DATE(YEAR(P$6),MONTH(P$6),MIN(DAY($F29),DAY(EOMONTH(P$6,0))))&gt;=$F29)*(DATE(YEAR(P$6),MONTH(P$6),MIN(DAY($F29),DAY(EOMONTH(P$6,0))))&gt;=P$5)*(DATE(YEAR(P$6),MONTH(P$6),MIN(DAY($F29),DAY(EOMONTH(P$6,0))))&lt;=P$6)*(MOD((YEAR(P$6)-YEAR($F29))*12+MONTH(P$6)-MONTH($F29),1)=0)),IF($D29="Quarterly",((DATE(YEAR(P$5),MONTH(P$5),MIN(DAY($F29),DAY(EOMONTH(P$5,0))))&gt;=MAX(P$5,$F29))*(DATE(YEAR(P$5),MONTH(P$5),MIN(DAY($F29),DAY(EOMONTH(P$5,0))))&lt;=P$6)*(MOD((YEAR(P$5)-YEAR($F29))*12+MONTH(P$5)-MONTH($F29),3)=0)+(MONTH(P$6)&lt;&gt;MONTH(P$5))*(DATE(YEAR(P$6),MONTH(P$6),MIN(DAY($F29),DAY(EOMONTH(P$6,0))))&gt;=$F29)*(DATE(YEAR(P$6),MONTH(P$6),MIN(DAY($F29),DAY(EOMONTH(P$6,0))))&gt;=P$5)*(DATE(YEAR(P$6),MONTH(P$6),MIN(DAY($F29),DAY(EOMONTH(P$6,0))))&lt;=P$6)*(MOD((YEAR(P$6)-YEAR($F29))*12+MONTH(P$6)-MONTH($F29),3)=0)),IF($D29="One-off",($F29&gt;=P$5)*($F29&lt;=P$6),0))))))</f>
        <v>0</v>
      </c>
      <c r="Q29" s="19">
        <f>IF(OR($E29="",$F29="",$D29=""),0,IF(OR($C29="Loan and finance repayments",$C29="VAT and taxes",$C29="Capital expenditure",$C29="Licences and regulatory fees"),1,1+CostAdj)*$E29*IF($D29="Weekly",(MAX(0,INT((Q$6-$F29)/7)+1)-MAX(0,INT((Q$5-1-$F29)/7)+1)),IF($D29="Fortnightly",(MAX(0,INT((Q$6-$F29)/14)+1)-MAX(0,INT((Q$5-1-$F29)/14)+1)),IF($D29="Monthly",((DATE(YEAR(Q$5),MONTH(Q$5),MIN(DAY($F29),DAY(EOMONTH(Q$5,0))))&gt;=MAX(Q$5,$F29))*(DATE(YEAR(Q$5),MONTH(Q$5),MIN(DAY($F29),DAY(EOMONTH(Q$5,0))))&lt;=Q$6)*(MOD((YEAR(Q$5)-YEAR($F29))*12+MONTH(Q$5)-MONTH($F29),1)=0)+(MONTH(Q$6)&lt;&gt;MONTH(Q$5))*(DATE(YEAR(Q$6),MONTH(Q$6),MIN(DAY($F29),DAY(EOMONTH(Q$6,0))))&gt;=$F29)*(DATE(YEAR(Q$6),MONTH(Q$6),MIN(DAY($F29),DAY(EOMONTH(Q$6,0))))&gt;=Q$5)*(DATE(YEAR(Q$6),MONTH(Q$6),MIN(DAY($F29),DAY(EOMONTH(Q$6,0))))&lt;=Q$6)*(MOD((YEAR(Q$6)-YEAR($F29))*12+MONTH(Q$6)-MONTH($F29),1)=0)),IF($D29="Quarterly",((DATE(YEAR(Q$5),MONTH(Q$5),MIN(DAY($F29),DAY(EOMONTH(Q$5,0))))&gt;=MAX(Q$5,$F29))*(DATE(YEAR(Q$5),MONTH(Q$5),MIN(DAY($F29),DAY(EOMONTH(Q$5,0))))&lt;=Q$6)*(MOD((YEAR(Q$5)-YEAR($F29))*12+MONTH(Q$5)-MONTH($F29),3)=0)+(MONTH(Q$6)&lt;&gt;MONTH(Q$5))*(DATE(YEAR(Q$6),MONTH(Q$6),MIN(DAY($F29),DAY(EOMONTH(Q$6,0))))&gt;=$F29)*(DATE(YEAR(Q$6),MONTH(Q$6),MIN(DAY($F29),DAY(EOMONTH(Q$6,0))))&gt;=Q$5)*(DATE(YEAR(Q$6),MONTH(Q$6),MIN(DAY($F29),DAY(EOMONTH(Q$6,0))))&lt;=Q$6)*(MOD((YEAR(Q$6)-YEAR($F29))*12+MONTH(Q$6)-MONTH($F29),3)=0)),IF($D29="One-off",($F29&gt;=Q$5)*($F29&lt;=Q$6),0))))))</f>
        <v>0</v>
      </c>
      <c r="R29" s="19">
        <f>IF(OR($E29="",$F29="",$D29=""),0,IF(OR($C29="Loan and finance repayments",$C29="VAT and taxes",$C29="Capital expenditure",$C29="Licences and regulatory fees"),1,1+CostAdj)*$E29*IF($D29="Weekly",(MAX(0,INT((R$6-$F29)/7)+1)-MAX(0,INT((R$5-1-$F29)/7)+1)),IF($D29="Fortnightly",(MAX(0,INT((R$6-$F29)/14)+1)-MAX(0,INT((R$5-1-$F29)/14)+1)),IF($D29="Monthly",((DATE(YEAR(R$5),MONTH(R$5),MIN(DAY($F29),DAY(EOMONTH(R$5,0))))&gt;=MAX(R$5,$F29))*(DATE(YEAR(R$5),MONTH(R$5),MIN(DAY($F29),DAY(EOMONTH(R$5,0))))&lt;=R$6)*(MOD((YEAR(R$5)-YEAR($F29))*12+MONTH(R$5)-MONTH($F29),1)=0)+(MONTH(R$6)&lt;&gt;MONTH(R$5))*(DATE(YEAR(R$6),MONTH(R$6),MIN(DAY($F29),DAY(EOMONTH(R$6,0))))&gt;=$F29)*(DATE(YEAR(R$6),MONTH(R$6),MIN(DAY($F29),DAY(EOMONTH(R$6,0))))&gt;=R$5)*(DATE(YEAR(R$6),MONTH(R$6),MIN(DAY($F29),DAY(EOMONTH(R$6,0))))&lt;=R$6)*(MOD((YEAR(R$6)-YEAR($F29))*12+MONTH(R$6)-MONTH($F29),1)=0)),IF($D29="Quarterly",((DATE(YEAR(R$5),MONTH(R$5),MIN(DAY($F29),DAY(EOMONTH(R$5,0))))&gt;=MAX(R$5,$F29))*(DATE(YEAR(R$5),MONTH(R$5),MIN(DAY($F29),DAY(EOMONTH(R$5,0))))&lt;=R$6)*(MOD((YEAR(R$5)-YEAR($F29))*12+MONTH(R$5)-MONTH($F29),3)=0)+(MONTH(R$6)&lt;&gt;MONTH(R$5))*(DATE(YEAR(R$6),MONTH(R$6),MIN(DAY($F29),DAY(EOMONTH(R$6,0))))&gt;=$F29)*(DATE(YEAR(R$6),MONTH(R$6),MIN(DAY($F29),DAY(EOMONTH(R$6,0))))&gt;=R$5)*(DATE(YEAR(R$6),MONTH(R$6),MIN(DAY($F29),DAY(EOMONTH(R$6,0))))&lt;=R$6)*(MOD((YEAR(R$6)-YEAR($F29))*12+MONTH(R$6)-MONTH($F29),3)=0)),IF($D29="One-off",($F29&gt;=R$5)*($F29&lt;=R$6),0))))))</f>
        <v>0</v>
      </c>
      <c r="S29" s="19">
        <f>IF(OR($E29="",$F29="",$D29=""),0,IF(OR($C29="Loan and finance repayments",$C29="VAT and taxes",$C29="Capital expenditure",$C29="Licences and regulatory fees"),1,1+CostAdj)*$E29*IF($D29="Weekly",(MAX(0,INT((S$6-$F29)/7)+1)-MAX(0,INT((S$5-1-$F29)/7)+1)),IF($D29="Fortnightly",(MAX(0,INT((S$6-$F29)/14)+1)-MAX(0,INT((S$5-1-$F29)/14)+1)),IF($D29="Monthly",((DATE(YEAR(S$5),MONTH(S$5),MIN(DAY($F29),DAY(EOMONTH(S$5,0))))&gt;=MAX(S$5,$F29))*(DATE(YEAR(S$5),MONTH(S$5),MIN(DAY($F29),DAY(EOMONTH(S$5,0))))&lt;=S$6)*(MOD((YEAR(S$5)-YEAR($F29))*12+MONTH(S$5)-MONTH($F29),1)=0)+(MONTH(S$6)&lt;&gt;MONTH(S$5))*(DATE(YEAR(S$6),MONTH(S$6),MIN(DAY($F29),DAY(EOMONTH(S$6,0))))&gt;=$F29)*(DATE(YEAR(S$6),MONTH(S$6),MIN(DAY($F29),DAY(EOMONTH(S$6,0))))&gt;=S$5)*(DATE(YEAR(S$6),MONTH(S$6),MIN(DAY($F29),DAY(EOMONTH(S$6,0))))&lt;=S$6)*(MOD((YEAR(S$6)-YEAR($F29))*12+MONTH(S$6)-MONTH($F29),1)=0)),IF($D29="Quarterly",((DATE(YEAR(S$5),MONTH(S$5),MIN(DAY($F29),DAY(EOMONTH(S$5,0))))&gt;=MAX(S$5,$F29))*(DATE(YEAR(S$5),MONTH(S$5),MIN(DAY($F29),DAY(EOMONTH(S$5,0))))&lt;=S$6)*(MOD((YEAR(S$5)-YEAR($F29))*12+MONTH(S$5)-MONTH($F29),3)=0)+(MONTH(S$6)&lt;&gt;MONTH(S$5))*(DATE(YEAR(S$6),MONTH(S$6),MIN(DAY($F29),DAY(EOMONTH(S$6,0))))&gt;=$F29)*(DATE(YEAR(S$6),MONTH(S$6),MIN(DAY($F29),DAY(EOMONTH(S$6,0))))&gt;=S$5)*(DATE(YEAR(S$6),MONTH(S$6),MIN(DAY($F29),DAY(EOMONTH(S$6,0))))&lt;=S$6)*(MOD((YEAR(S$6)-YEAR($F29))*12+MONTH(S$6)-MONTH($F29),3)=0)),IF($D29="One-off",($F29&gt;=S$5)*($F29&lt;=S$6),0))))))</f>
        <v>0</v>
      </c>
      <c r="T29" s="19">
        <f>IF(OR($E29="",$F29="",$D29=""),0,IF(OR($C29="Loan and finance repayments",$C29="VAT and taxes",$C29="Capital expenditure",$C29="Licences and regulatory fees"),1,1+CostAdj)*$E29*IF($D29="Weekly",(MAX(0,INT((T$6-$F29)/7)+1)-MAX(0,INT((T$5-1-$F29)/7)+1)),IF($D29="Fortnightly",(MAX(0,INT((T$6-$F29)/14)+1)-MAX(0,INT((T$5-1-$F29)/14)+1)),IF($D29="Monthly",((DATE(YEAR(T$5),MONTH(T$5),MIN(DAY($F29),DAY(EOMONTH(T$5,0))))&gt;=MAX(T$5,$F29))*(DATE(YEAR(T$5),MONTH(T$5),MIN(DAY($F29),DAY(EOMONTH(T$5,0))))&lt;=T$6)*(MOD((YEAR(T$5)-YEAR($F29))*12+MONTH(T$5)-MONTH($F29),1)=0)+(MONTH(T$6)&lt;&gt;MONTH(T$5))*(DATE(YEAR(T$6),MONTH(T$6),MIN(DAY($F29),DAY(EOMONTH(T$6,0))))&gt;=$F29)*(DATE(YEAR(T$6),MONTH(T$6),MIN(DAY($F29),DAY(EOMONTH(T$6,0))))&gt;=T$5)*(DATE(YEAR(T$6),MONTH(T$6),MIN(DAY($F29),DAY(EOMONTH(T$6,0))))&lt;=T$6)*(MOD((YEAR(T$6)-YEAR($F29))*12+MONTH(T$6)-MONTH($F29),1)=0)),IF($D29="Quarterly",((DATE(YEAR(T$5),MONTH(T$5),MIN(DAY($F29),DAY(EOMONTH(T$5,0))))&gt;=MAX(T$5,$F29))*(DATE(YEAR(T$5),MONTH(T$5),MIN(DAY($F29),DAY(EOMONTH(T$5,0))))&lt;=T$6)*(MOD((YEAR(T$5)-YEAR($F29))*12+MONTH(T$5)-MONTH($F29),3)=0)+(MONTH(T$6)&lt;&gt;MONTH(T$5))*(DATE(YEAR(T$6),MONTH(T$6),MIN(DAY($F29),DAY(EOMONTH(T$6,0))))&gt;=$F29)*(DATE(YEAR(T$6),MONTH(T$6),MIN(DAY($F29),DAY(EOMONTH(T$6,0))))&gt;=T$5)*(DATE(YEAR(T$6),MONTH(T$6),MIN(DAY($F29),DAY(EOMONTH(T$6,0))))&lt;=T$6)*(MOD((YEAR(T$6)-YEAR($F29))*12+MONTH(T$6)-MONTH($F29),3)=0)),IF($D29="One-off",($F29&gt;=T$5)*($F29&lt;=T$6),0))))))</f>
        <v>0</v>
      </c>
      <c r="U29" s="36">
        <f>SUM(H29:T29)</f>
        <v>0</v>
      </c>
    </row>
    <row r="30" spans="1:21">
      <c r="A30" s="42">
        <v>22</v>
      </c>
      <c r="B30" s="7"/>
      <c r="C30" s="7"/>
      <c r="D30" s="7"/>
      <c r="E30" s="18"/>
      <c r="F30" s="17"/>
      <c r="G30" s="7"/>
      <c r="H30" s="19">
        <f>IF(OR($E30="",$F30="",$D30=""),0,IF(OR($C30="Loan and finance repayments",$C30="VAT and taxes",$C30="Capital expenditure",$C30="Licences and regulatory fees"),1,1+CostAdj)*$E30*IF($D30="Weekly",(MAX(0,INT((H$6-$F30)/7)+1)-MAX(0,INT((H$5-1-$F30)/7)+1)),IF($D30="Fortnightly",(MAX(0,INT((H$6-$F30)/14)+1)-MAX(0,INT((H$5-1-$F30)/14)+1)),IF($D30="Monthly",((DATE(YEAR(H$5),MONTH(H$5),MIN(DAY($F30),DAY(EOMONTH(H$5,0))))&gt;=MAX(H$5,$F30))*(DATE(YEAR(H$5),MONTH(H$5),MIN(DAY($F30),DAY(EOMONTH(H$5,0))))&lt;=H$6)*(MOD((YEAR(H$5)-YEAR($F30))*12+MONTH(H$5)-MONTH($F30),1)=0)+(MONTH(H$6)&lt;&gt;MONTH(H$5))*(DATE(YEAR(H$6),MONTH(H$6),MIN(DAY($F30),DAY(EOMONTH(H$6,0))))&gt;=$F30)*(DATE(YEAR(H$6),MONTH(H$6),MIN(DAY($F30),DAY(EOMONTH(H$6,0))))&gt;=H$5)*(DATE(YEAR(H$6),MONTH(H$6),MIN(DAY($F30),DAY(EOMONTH(H$6,0))))&lt;=H$6)*(MOD((YEAR(H$6)-YEAR($F30))*12+MONTH(H$6)-MONTH($F30),1)=0)),IF($D30="Quarterly",((DATE(YEAR(H$5),MONTH(H$5),MIN(DAY($F30),DAY(EOMONTH(H$5,0))))&gt;=MAX(H$5,$F30))*(DATE(YEAR(H$5),MONTH(H$5),MIN(DAY($F30),DAY(EOMONTH(H$5,0))))&lt;=H$6)*(MOD((YEAR(H$5)-YEAR($F30))*12+MONTH(H$5)-MONTH($F30),3)=0)+(MONTH(H$6)&lt;&gt;MONTH(H$5))*(DATE(YEAR(H$6),MONTH(H$6),MIN(DAY($F30),DAY(EOMONTH(H$6,0))))&gt;=$F30)*(DATE(YEAR(H$6),MONTH(H$6),MIN(DAY($F30),DAY(EOMONTH(H$6,0))))&gt;=H$5)*(DATE(YEAR(H$6),MONTH(H$6),MIN(DAY($F30),DAY(EOMONTH(H$6,0))))&lt;=H$6)*(MOD((YEAR(H$6)-YEAR($F30))*12+MONTH(H$6)-MONTH($F30),3)=0)),IF($D30="One-off",($F30&gt;=H$5)*($F30&lt;=H$6),0))))))</f>
        <v>0</v>
      </c>
      <c r="I30" s="19">
        <f>IF(OR($E30="",$F30="",$D30=""),0,IF(OR($C30="Loan and finance repayments",$C30="VAT and taxes",$C30="Capital expenditure",$C30="Licences and regulatory fees"),1,1+CostAdj)*$E30*IF($D30="Weekly",(MAX(0,INT((I$6-$F30)/7)+1)-MAX(0,INT((I$5-1-$F30)/7)+1)),IF($D30="Fortnightly",(MAX(0,INT((I$6-$F30)/14)+1)-MAX(0,INT((I$5-1-$F30)/14)+1)),IF($D30="Monthly",((DATE(YEAR(I$5),MONTH(I$5),MIN(DAY($F30),DAY(EOMONTH(I$5,0))))&gt;=MAX(I$5,$F30))*(DATE(YEAR(I$5),MONTH(I$5),MIN(DAY($F30),DAY(EOMONTH(I$5,0))))&lt;=I$6)*(MOD((YEAR(I$5)-YEAR($F30))*12+MONTH(I$5)-MONTH($F30),1)=0)+(MONTH(I$6)&lt;&gt;MONTH(I$5))*(DATE(YEAR(I$6),MONTH(I$6),MIN(DAY($F30),DAY(EOMONTH(I$6,0))))&gt;=$F30)*(DATE(YEAR(I$6),MONTH(I$6),MIN(DAY($F30),DAY(EOMONTH(I$6,0))))&gt;=I$5)*(DATE(YEAR(I$6),MONTH(I$6),MIN(DAY($F30),DAY(EOMONTH(I$6,0))))&lt;=I$6)*(MOD((YEAR(I$6)-YEAR($F30))*12+MONTH(I$6)-MONTH($F30),1)=0)),IF($D30="Quarterly",((DATE(YEAR(I$5),MONTH(I$5),MIN(DAY($F30),DAY(EOMONTH(I$5,0))))&gt;=MAX(I$5,$F30))*(DATE(YEAR(I$5),MONTH(I$5),MIN(DAY($F30),DAY(EOMONTH(I$5,0))))&lt;=I$6)*(MOD((YEAR(I$5)-YEAR($F30))*12+MONTH(I$5)-MONTH($F30),3)=0)+(MONTH(I$6)&lt;&gt;MONTH(I$5))*(DATE(YEAR(I$6),MONTH(I$6),MIN(DAY($F30),DAY(EOMONTH(I$6,0))))&gt;=$F30)*(DATE(YEAR(I$6),MONTH(I$6),MIN(DAY($F30),DAY(EOMONTH(I$6,0))))&gt;=I$5)*(DATE(YEAR(I$6),MONTH(I$6),MIN(DAY($F30),DAY(EOMONTH(I$6,0))))&lt;=I$6)*(MOD((YEAR(I$6)-YEAR($F30))*12+MONTH(I$6)-MONTH($F30),3)=0)),IF($D30="One-off",($F30&gt;=I$5)*($F30&lt;=I$6),0))))))</f>
        <v>0</v>
      </c>
      <c r="J30" s="19">
        <f>IF(OR($E30="",$F30="",$D30=""),0,IF(OR($C30="Loan and finance repayments",$C30="VAT and taxes",$C30="Capital expenditure",$C30="Licences and regulatory fees"),1,1+CostAdj)*$E30*IF($D30="Weekly",(MAX(0,INT((J$6-$F30)/7)+1)-MAX(0,INT((J$5-1-$F30)/7)+1)),IF($D30="Fortnightly",(MAX(0,INT((J$6-$F30)/14)+1)-MAX(0,INT((J$5-1-$F30)/14)+1)),IF($D30="Monthly",((DATE(YEAR(J$5),MONTH(J$5),MIN(DAY($F30),DAY(EOMONTH(J$5,0))))&gt;=MAX(J$5,$F30))*(DATE(YEAR(J$5),MONTH(J$5),MIN(DAY($F30),DAY(EOMONTH(J$5,0))))&lt;=J$6)*(MOD((YEAR(J$5)-YEAR($F30))*12+MONTH(J$5)-MONTH($F30),1)=0)+(MONTH(J$6)&lt;&gt;MONTH(J$5))*(DATE(YEAR(J$6),MONTH(J$6),MIN(DAY($F30),DAY(EOMONTH(J$6,0))))&gt;=$F30)*(DATE(YEAR(J$6),MONTH(J$6),MIN(DAY($F30),DAY(EOMONTH(J$6,0))))&gt;=J$5)*(DATE(YEAR(J$6),MONTH(J$6),MIN(DAY($F30),DAY(EOMONTH(J$6,0))))&lt;=J$6)*(MOD((YEAR(J$6)-YEAR($F30))*12+MONTH(J$6)-MONTH($F30),1)=0)),IF($D30="Quarterly",((DATE(YEAR(J$5),MONTH(J$5),MIN(DAY($F30),DAY(EOMONTH(J$5,0))))&gt;=MAX(J$5,$F30))*(DATE(YEAR(J$5),MONTH(J$5),MIN(DAY($F30),DAY(EOMONTH(J$5,0))))&lt;=J$6)*(MOD((YEAR(J$5)-YEAR($F30))*12+MONTH(J$5)-MONTH($F30),3)=0)+(MONTH(J$6)&lt;&gt;MONTH(J$5))*(DATE(YEAR(J$6),MONTH(J$6),MIN(DAY($F30),DAY(EOMONTH(J$6,0))))&gt;=$F30)*(DATE(YEAR(J$6),MONTH(J$6),MIN(DAY($F30),DAY(EOMONTH(J$6,0))))&gt;=J$5)*(DATE(YEAR(J$6),MONTH(J$6),MIN(DAY($F30),DAY(EOMONTH(J$6,0))))&lt;=J$6)*(MOD((YEAR(J$6)-YEAR($F30))*12+MONTH(J$6)-MONTH($F30),3)=0)),IF($D30="One-off",($F30&gt;=J$5)*($F30&lt;=J$6),0))))))</f>
        <v>0</v>
      </c>
      <c r="K30" s="19">
        <f>IF(OR($E30="",$F30="",$D30=""),0,IF(OR($C30="Loan and finance repayments",$C30="VAT and taxes",$C30="Capital expenditure",$C30="Licences and regulatory fees"),1,1+CostAdj)*$E30*IF($D30="Weekly",(MAX(0,INT((K$6-$F30)/7)+1)-MAX(0,INT((K$5-1-$F30)/7)+1)),IF($D30="Fortnightly",(MAX(0,INT((K$6-$F30)/14)+1)-MAX(0,INT((K$5-1-$F30)/14)+1)),IF($D30="Monthly",((DATE(YEAR(K$5),MONTH(K$5),MIN(DAY($F30),DAY(EOMONTH(K$5,0))))&gt;=MAX(K$5,$F30))*(DATE(YEAR(K$5),MONTH(K$5),MIN(DAY($F30),DAY(EOMONTH(K$5,0))))&lt;=K$6)*(MOD((YEAR(K$5)-YEAR($F30))*12+MONTH(K$5)-MONTH($F30),1)=0)+(MONTH(K$6)&lt;&gt;MONTH(K$5))*(DATE(YEAR(K$6),MONTH(K$6),MIN(DAY($F30),DAY(EOMONTH(K$6,0))))&gt;=$F30)*(DATE(YEAR(K$6),MONTH(K$6),MIN(DAY($F30),DAY(EOMONTH(K$6,0))))&gt;=K$5)*(DATE(YEAR(K$6),MONTH(K$6),MIN(DAY($F30),DAY(EOMONTH(K$6,0))))&lt;=K$6)*(MOD((YEAR(K$6)-YEAR($F30))*12+MONTH(K$6)-MONTH($F30),1)=0)),IF($D30="Quarterly",((DATE(YEAR(K$5),MONTH(K$5),MIN(DAY($F30),DAY(EOMONTH(K$5,0))))&gt;=MAX(K$5,$F30))*(DATE(YEAR(K$5),MONTH(K$5),MIN(DAY($F30),DAY(EOMONTH(K$5,0))))&lt;=K$6)*(MOD((YEAR(K$5)-YEAR($F30))*12+MONTH(K$5)-MONTH($F30),3)=0)+(MONTH(K$6)&lt;&gt;MONTH(K$5))*(DATE(YEAR(K$6),MONTH(K$6),MIN(DAY($F30),DAY(EOMONTH(K$6,0))))&gt;=$F30)*(DATE(YEAR(K$6),MONTH(K$6),MIN(DAY($F30),DAY(EOMONTH(K$6,0))))&gt;=K$5)*(DATE(YEAR(K$6),MONTH(K$6),MIN(DAY($F30),DAY(EOMONTH(K$6,0))))&lt;=K$6)*(MOD((YEAR(K$6)-YEAR($F30))*12+MONTH(K$6)-MONTH($F30),3)=0)),IF($D30="One-off",($F30&gt;=K$5)*($F30&lt;=K$6),0))))))</f>
        <v>0</v>
      </c>
      <c r="L30" s="19">
        <f>IF(OR($E30="",$F30="",$D30=""),0,IF(OR($C30="Loan and finance repayments",$C30="VAT and taxes",$C30="Capital expenditure",$C30="Licences and regulatory fees"),1,1+CostAdj)*$E30*IF($D30="Weekly",(MAX(0,INT((L$6-$F30)/7)+1)-MAX(0,INT((L$5-1-$F30)/7)+1)),IF($D30="Fortnightly",(MAX(0,INT((L$6-$F30)/14)+1)-MAX(0,INT((L$5-1-$F30)/14)+1)),IF($D30="Monthly",((DATE(YEAR(L$5),MONTH(L$5),MIN(DAY($F30),DAY(EOMONTH(L$5,0))))&gt;=MAX(L$5,$F30))*(DATE(YEAR(L$5),MONTH(L$5),MIN(DAY($F30),DAY(EOMONTH(L$5,0))))&lt;=L$6)*(MOD((YEAR(L$5)-YEAR($F30))*12+MONTH(L$5)-MONTH($F30),1)=0)+(MONTH(L$6)&lt;&gt;MONTH(L$5))*(DATE(YEAR(L$6),MONTH(L$6),MIN(DAY($F30),DAY(EOMONTH(L$6,0))))&gt;=$F30)*(DATE(YEAR(L$6),MONTH(L$6),MIN(DAY($F30),DAY(EOMONTH(L$6,0))))&gt;=L$5)*(DATE(YEAR(L$6),MONTH(L$6),MIN(DAY($F30),DAY(EOMONTH(L$6,0))))&lt;=L$6)*(MOD((YEAR(L$6)-YEAR($F30))*12+MONTH(L$6)-MONTH($F30),1)=0)),IF($D30="Quarterly",((DATE(YEAR(L$5),MONTH(L$5),MIN(DAY($F30),DAY(EOMONTH(L$5,0))))&gt;=MAX(L$5,$F30))*(DATE(YEAR(L$5),MONTH(L$5),MIN(DAY($F30),DAY(EOMONTH(L$5,0))))&lt;=L$6)*(MOD((YEAR(L$5)-YEAR($F30))*12+MONTH(L$5)-MONTH($F30),3)=0)+(MONTH(L$6)&lt;&gt;MONTH(L$5))*(DATE(YEAR(L$6),MONTH(L$6),MIN(DAY($F30),DAY(EOMONTH(L$6,0))))&gt;=$F30)*(DATE(YEAR(L$6),MONTH(L$6),MIN(DAY($F30),DAY(EOMONTH(L$6,0))))&gt;=L$5)*(DATE(YEAR(L$6),MONTH(L$6),MIN(DAY($F30),DAY(EOMONTH(L$6,0))))&lt;=L$6)*(MOD((YEAR(L$6)-YEAR($F30))*12+MONTH(L$6)-MONTH($F30),3)=0)),IF($D30="One-off",($F30&gt;=L$5)*($F30&lt;=L$6),0))))))</f>
        <v>0</v>
      </c>
      <c r="M30" s="19">
        <f>IF(OR($E30="",$F30="",$D30=""),0,IF(OR($C30="Loan and finance repayments",$C30="VAT and taxes",$C30="Capital expenditure",$C30="Licences and regulatory fees"),1,1+CostAdj)*$E30*IF($D30="Weekly",(MAX(0,INT((M$6-$F30)/7)+1)-MAX(0,INT((M$5-1-$F30)/7)+1)),IF($D30="Fortnightly",(MAX(0,INT((M$6-$F30)/14)+1)-MAX(0,INT((M$5-1-$F30)/14)+1)),IF($D30="Monthly",((DATE(YEAR(M$5),MONTH(M$5),MIN(DAY($F30),DAY(EOMONTH(M$5,0))))&gt;=MAX(M$5,$F30))*(DATE(YEAR(M$5),MONTH(M$5),MIN(DAY($F30),DAY(EOMONTH(M$5,0))))&lt;=M$6)*(MOD((YEAR(M$5)-YEAR($F30))*12+MONTH(M$5)-MONTH($F30),1)=0)+(MONTH(M$6)&lt;&gt;MONTH(M$5))*(DATE(YEAR(M$6),MONTH(M$6),MIN(DAY($F30),DAY(EOMONTH(M$6,0))))&gt;=$F30)*(DATE(YEAR(M$6),MONTH(M$6),MIN(DAY($F30),DAY(EOMONTH(M$6,0))))&gt;=M$5)*(DATE(YEAR(M$6),MONTH(M$6),MIN(DAY($F30),DAY(EOMONTH(M$6,0))))&lt;=M$6)*(MOD((YEAR(M$6)-YEAR($F30))*12+MONTH(M$6)-MONTH($F30),1)=0)),IF($D30="Quarterly",((DATE(YEAR(M$5),MONTH(M$5),MIN(DAY($F30),DAY(EOMONTH(M$5,0))))&gt;=MAX(M$5,$F30))*(DATE(YEAR(M$5),MONTH(M$5),MIN(DAY($F30),DAY(EOMONTH(M$5,0))))&lt;=M$6)*(MOD((YEAR(M$5)-YEAR($F30))*12+MONTH(M$5)-MONTH($F30),3)=0)+(MONTH(M$6)&lt;&gt;MONTH(M$5))*(DATE(YEAR(M$6),MONTH(M$6),MIN(DAY($F30),DAY(EOMONTH(M$6,0))))&gt;=$F30)*(DATE(YEAR(M$6),MONTH(M$6),MIN(DAY($F30),DAY(EOMONTH(M$6,0))))&gt;=M$5)*(DATE(YEAR(M$6),MONTH(M$6),MIN(DAY($F30),DAY(EOMONTH(M$6,0))))&lt;=M$6)*(MOD((YEAR(M$6)-YEAR($F30))*12+MONTH(M$6)-MONTH($F30),3)=0)),IF($D30="One-off",($F30&gt;=M$5)*($F30&lt;=M$6),0))))))</f>
        <v>0</v>
      </c>
      <c r="N30" s="19">
        <f>IF(OR($E30="",$F30="",$D30=""),0,IF(OR($C30="Loan and finance repayments",$C30="VAT and taxes",$C30="Capital expenditure",$C30="Licences and regulatory fees"),1,1+CostAdj)*$E30*IF($D30="Weekly",(MAX(0,INT((N$6-$F30)/7)+1)-MAX(0,INT((N$5-1-$F30)/7)+1)),IF($D30="Fortnightly",(MAX(0,INT((N$6-$F30)/14)+1)-MAX(0,INT((N$5-1-$F30)/14)+1)),IF($D30="Monthly",((DATE(YEAR(N$5),MONTH(N$5),MIN(DAY($F30),DAY(EOMONTH(N$5,0))))&gt;=MAX(N$5,$F30))*(DATE(YEAR(N$5),MONTH(N$5),MIN(DAY($F30),DAY(EOMONTH(N$5,0))))&lt;=N$6)*(MOD((YEAR(N$5)-YEAR($F30))*12+MONTH(N$5)-MONTH($F30),1)=0)+(MONTH(N$6)&lt;&gt;MONTH(N$5))*(DATE(YEAR(N$6),MONTH(N$6),MIN(DAY($F30),DAY(EOMONTH(N$6,0))))&gt;=$F30)*(DATE(YEAR(N$6),MONTH(N$6),MIN(DAY($F30),DAY(EOMONTH(N$6,0))))&gt;=N$5)*(DATE(YEAR(N$6),MONTH(N$6),MIN(DAY($F30),DAY(EOMONTH(N$6,0))))&lt;=N$6)*(MOD((YEAR(N$6)-YEAR($F30))*12+MONTH(N$6)-MONTH($F30),1)=0)),IF($D30="Quarterly",((DATE(YEAR(N$5),MONTH(N$5),MIN(DAY($F30),DAY(EOMONTH(N$5,0))))&gt;=MAX(N$5,$F30))*(DATE(YEAR(N$5),MONTH(N$5),MIN(DAY($F30),DAY(EOMONTH(N$5,0))))&lt;=N$6)*(MOD((YEAR(N$5)-YEAR($F30))*12+MONTH(N$5)-MONTH($F30),3)=0)+(MONTH(N$6)&lt;&gt;MONTH(N$5))*(DATE(YEAR(N$6),MONTH(N$6),MIN(DAY($F30),DAY(EOMONTH(N$6,0))))&gt;=$F30)*(DATE(YEAR(N$6),MONTH(N$6),MIN(DAY($F30),DAY(EOMONTH(N$6,0))))&gt;=N$5)*(DATE(YEAR(N$6),MONTH(N$6),MIN(DAY($F30),DAY(EOMONTH(N$6,0))))&lt;=N$6)*(MOD((YEAR(N$6)-YEAR($F30))*12+MONTH(N$6)-MONTH($F30),3)=0)),IF($D30="One-off",($F30&gt;=N$5)*($F30&lt;=N$6),0))))))</f>
        <v>0</v>
      </c>
      <c r="O30" s="19">
        <f>IF(OR($E30="",$F30="",$D30=""),0,IF(OR($C30="Loan and finance repayments",$C30="VAT and taxes",$C30="Capital expenditure",$C30="Licences and regulatory fees"),1,1+CostAdj)*$E30*IF($D30="Weekly",(MAX(0,INT((O$6-$F30)/7)+1)-MAX(0,INT((O$5-1-$F30)/7)+1)),IF($D30="Fortnightly",(MAX(0,INT((O$6-$F30)/14)+1)-MAX(0,INT((O$5-1-$F30)/14)+1)),IF($D30="Monthly",((DATE(YEAR(O$5),MONTH(O$5),MIN(DAY($F30),DAY(EOMONTH(O$5,0))))&gt;=MAX(O$5,$F30))*(DATE(YEAR(O$5),MONTH(O$5),MIN(DAY($F30),DAY(EOMONTH(O$5,0))))&lt;=O$6)*(MOD((YEAR(O$5)-YEAR($F30))*12+MONTH(O$5)-MONTH($F30),1)=0)+(MONTH(O$6)&lt;&gt;MONTH(O$5))*(DATE(YEAR(O$6),MONTH(O$6),MIN(DAY($F30),DAY(EOMONTH(O$6,0))))&gt;=$F30)*(DATE(YEAR(O$6),MONTH(O$6),MIN(DAY($F30),DAY(EOMONTH(O$6,0))))&gt;=O$5)*(DATE(YEAR(O$6),MONTH(O$6),MIN(DAY($F30),DAY(EOMONTH(O$6,0))))&lt;=O$6)*(MOD((YEAR(O$6)-YEAR($F30))*12+MONTH(O$6)-MONTH($F30),1)=0)),IF($D30="Quarterly",((DATE(YEAR(O$5),MONTH(O$5),MIN(DAY($F30),DAY(EOMONTH(O$5,0))))&gt;=MAX(O$5,$F30))*(DATE(YEAR(O$5),MONTH(O$5),MIN(DAY($F30),DAY(EOMONTH(O$5,0))))&lt;=O$6)*(MOD((YEAR(O$5)-YEAR($F30))*12+MONTH(O$5)-MONTH($F30),3)=0)+(MONTH(O$6)&lt;&gt;MONTH(O$5))*(DATE(YEAR(O$6),MONTH(O$6),MIN(DAY($F30),DAY(EOMONTH(O$6,0))))&gt;=$F30)*(DATE(YEAR(O$6),MONTH(O$6),MIN(DAY($F30),DAY(EOMONTH(O$6,0))))&gt;=O$5)*(DATE(YEAR(O$6),MONTH(O$6),MIN(DAY($F30),DAY(EOMONTH(O$6,0))))&lt;=O$6)*(MOD((YEAR(O$6)-YEAR($F30))*12+MONTH(O$6)-MONTH($F30),3)=0)),IF($D30="One-off",($F30&gt;=O$5)*($F30&lt;=O$6),0))))))</f>
        <v>0</v>
      </c>
      <c r="P30" s="19">
        <f>IF(OR($E30="",$F30="",$D30=""),0,IF(OR($C30="Loan and finance repayments",$C30="VAT and taxes",$C30="Capital expenditure",$C30="Licences and regulatory fees"),1,1+CostAdj)*$E30*IF($D30="Weekly",(MAX(0,INT((P$6-$F30)/7)+1)-MAX(0,INT((P$5-1-$F30)/7)+1)),IF($D30="Fortnightly",(MAX(0,INT((P$6-$F30)/14)+1)-MAX(0,INT((P$5-1-$F30)/14)+1)),IF($D30="Monthly",((DATE(YEAR(P$5),MONTH(P$5),MIN(DAY($F30),DAY(EOMONTH(P$5,0))))&gt;=MAX(P$5,$F30))*(DATE(YEAR(P$5),MONTH(P$5),MIN(DAY($F30),DAY(EOMONTH(P$5,0))))&lt;=P$6)*(MOD((YEAR(P$5)-YEAR($F30))*12+MONTH(P$5)-MONTH($F30),1)=0)+(MONTH(P$6)&lt;&gt;MONTH(P$5))*(DATE(YEAR(P$6),MONTH(P$6),MIN(DAY($F30),DAY(EOMONTH(P$6,0))))&gt;=$F30)*(DATE(YEAR(P$6),MONTH(P$6),MIN(DAY($F30),DAY(EOMONTH(P$6,0))))&gt;=P$5)*(DATE(YEAR(P$6),MONTH(P$6),MIN(DAY($F30),DAY(EOMONTH(P$6,0))))&lt;=P$6)*(MOD((YEAR(P$6)-YEAR($F30))*12+MONTH(P$6)-MONTH($F30),1)=0)),IF($D30="Quarterly",((DATE(YEAR(P$5),MONTH(P$5),MIN(DAY($F30),DAY(EOMONTH(P$5,0))))&gt;=MAX(P$5,$F30))*(DATE(YEAR(P$5),MONTH(P$5),MIN(DAY($F30),DAY(EOMONTH(P$5,0))))&lt;=P$6)*(MOD((YEAR(P$5)-YEAR($F30))*12+MONTH(P$5)-MONTH($F30),3)=0)+(MONTH(P$6)&lt;&gt;MONTH(P$5))*(DATE(YEAR(P$6),MONTH(P$6),MIN(DAY($F30),DAY(EOMONTH(P$6,0))))&gt;=$F30)*(DATE(YEAR(P$6),MONTH(P$6),MIN(DAY($F30),DAY(EOMONTH(P$6,0))))&gt;=P$5)*(DATE(YEAR(P$6),MONTH(P$6),MIN(DAY($F30),DAY(EOMONTH(P$6,0))))&lt;=P$6)*(MOD((YEAR(P$6)-YEAR($F30))*12+MONTH(P$6)-MONTH($F30),3)=0)),IF($D30="One-off",($F30&gt;=P$5)*($F30&lt;=P$6),0))))))</f>
        <v>0</v>
      </c>
      <c r="Q30" s="19">
        <f>IF(OR($E30="",$F30="",$D30=""),0,IF(OR($C30="Loan and finance repayments",$C30="VAT and taxes",$C30="Capital expenditure",$C30="Licences and regulatory fees"),1,1+CostAdj)*$E30*IF($D30="Weekly",(MAX(0,INT((Q$6-$F30)/7)+1)-MAX(0,INT((Q$5-1-$F30)/7)+1)),IF($D30="Fortnightly",(MAX(0,INT((Q$6-$F30)/14)+1)-MAX(0,INT((Q$5-1-$F30)/14)+1)),IF($D30="Monthly",((DATE(YEAR(Q$5),MONTH(Q$5),MIN(DAY($F30),DAY(EOMONTH(Q$5,0))))&gt;=MAX(Q$5,$F30))*(DATE(YEAR(Q$5),MONTH(Q$5),MIN(DAY($F30),DAY(EOMONTH(Q$5,0))))&lt;=Q$6)*(MOD((YEAR(Q$5)-YEAR($F30))*12+MONTH(Q$5)-MONTH($F30),1)=0)+(MONTH(Q$6)&lt;&gt;MONTH(Q$5))*(DATE(YEAR(Q$6),MONTH(Q$6),MIN(DAY($F30),DAY(EOMONTH(Q$6,0))))&gt;=$F30)*(DATE(YEAR(Q$6),MONTH(Q$6),MIN(DAY($F30),DAY(EOMONTH(Q$6,0))))&gt;=Q$5)*(DATE(YEAR(Q$6),MONTH(Q$6),MIN(DAY($F30),DAY(EOMONTH(Q$6,0))))&lt;=Q$6)*(MOD((YEAR(Q$6)-YEAR($F30))*12+MONTH(Q$6)-MONTH($F30),1)=0)),IF($D30="Quarterly",((DATE(YEAR(Q$5),MONTH(Q$5),MIN(DAY($F30),DAY(EOMONTH(Q$5,0))))&gt;=MAX(Q$5,$F30))*(DATE(YEAR(Q$5),MONTH(Q$5),MIN(DAY($F30),DAY(EOMONTH(Q$5,0))))&lt;=Q$6)*(MOD((YEAR(Q$5)-YEAR($F30))*12+MONTH(Q$5)-MONTH($F30),3)=0)+(MONTH(Q$6)&lt;&gt;MONTH(Q$5))*(DATE(YEAR(Q$6),MONTH(Q$6),MIN(DAY($F30),DAY(EOMONTH(Q$6,0))))&gt;=$F30)*(DATE(YEAR(Q$6),MONTH(Q$6),MIN(DAY($F30),DAY(EOMONTH(Q$6,0))))&gt;=Q$5)*(DATE(YEAR(Q$6),MONTH(Q$6),MIN(DAY($F30),DAY(EOMONTH(Q$6,0))))&lt;=Q$6)*(MOD((YEAR(Q$6)-YEAR($F30))*12+MONTH(Q$6)-MONTH($F30),3)=0)),IF($D30="One-off",($F30&gt;=Q$5)*($F30&lt;=Q$6),0))))))</f>
        <v>0</v>
      </c>
      <c r="R30" s="19">
        <f>IF(OR($E30="",$F30="",$D30=""),0,IF(OR($C30="Loan and finance repayments",$C30="VAT and taxes",$C30="Capital expenditure",$C30="Licences and regulatory fees"),1,1+CostAdj)*$E30*IF($D30="Weekly",(MAX(0,INT((R$6-$F30)/7)+1)-MAX(0,INT((R$5-1-$F30)/7)+1)),IF($D30="Fortnightly",(MAX(0,INT((R$6-$F30)/14)+1)-MAX(0,INT((R$5-1-$F30)/14)+1)),IF($D30="Monthly",((DATE(YEAR(R$5),MONTH(R$5),MIN(DAY($F30),DAY(EOMONTH(R$5,0))))&gt;=MAX(R$5,$F30))*(DATE(YEAR(R$5),MONTH(R$5),MIN(DAY($F30),DAY(EOMONTH(R$5,0))))&lt;=R$6)*(MOD((YEAR(R$5)-YEAR($F30))*12+MONTH(R$5)-MONTH($F30),1)=0)+(MONTH(R$6)&lt;&gt;MONTH(R$5))*(DATE(YEAR(R$6),MONTH(R$6),MIN(DAY($F30),DAY(EOMONTH(R$6,0))))&gt;=$F30)*(DATE(YEAR(R$6),MONTH(R$6),MIN(DAY($F30),DAY(EOMONTH(R$6,0))))&gt;=R$5)*(DATE(YEAR(R$6),MONTH(R$6),MIN(DAY($F30),DAY(EOMONTH(R$6,0))))&lt;=R$6)*(MOD((YEAR(R$6)-YEAR($F30))*12+MONTH(R$6)-MONTH($F30),1)=0)),IF($D30="Quarterly",((DATE(YEAR(R$5),MONTH(R$5),MIN(DAY($F30),DAY(EOMONTH(R$5,0))))&gt;=MAX(R$5,$F30))*(DATE(YEAR(R$5),MONTH(R$5),MIN(DAY($F30),DAY(EOMONTH(R$5,0))))&lt;=R$6)*(MOD((YEAR(R$5)-YEAR($F30))*12+MONTH(R$5)-MONTH($F30),3)=0)+(MONTH(R$6)&lt;&gt;MONTH(R$5))*(DATE(YEAR(R$6),MONTH(R$6),MIN(DAY($F30),DAY(EOMONTH(R$6,0))))&gt;=$F30)*(DATE(YEAR(R$6),MONTH(R$6),MIN(DAY($F30),DAY(EOMONTH(R$6,0))))&gt;=R$5)*(DATE(YEAR(R$6),MONTH(R$6),MIN(DAY($F30),DAY(EOMONTH(R$6,0))))&lt;=R$6)*(MOD((YEAR(R$6)-YEAR($F30))*12+MONTH(R$6)-MONTH($F30),3)=0)),IF($D30="One-off",($F30&gt;=R$5)*($F30&lt;=R$6),0))))))</f>
        <v>0</v>
      </c>
      <c r="S30" s="19">
        <f>IF(OR($E30="",$F30="",$D30=""),0,IF(OR($C30="Loan and finance repayments",$C30="VAT and taxes",$C30="Capital expenditure",$C30="Licences and regulatory fees"),1,1+CostAdj)*$E30*IF($D30="Weekly",(MAX(0,INT((S$6-$F30)/7)+1)-MAX(0,INT((S$5-1-$F30)/7)+1)),IF($D30="Fortnightly",(MAX(0,INT((S$6-$F30)/14)+1)-MAX(0,INT((S$5-1-$F30)/14)+1)),IF($D30="Monthly",((DATE(YEAR(S$5),MONTH(S$5),MIN(DAY($F30),DAY(EOMONTH(S$5,0))))&gt;=MAX(S$5,$F30))*(DATE(YEAR(S$5),MONTH(S$5),MIN(DAY($F30),DAY(EOMONTH(S$5,0))))&lt;=S$6)*(MOD((YEAR(S$5)-YEAR($F30))*12+MONTH(S$5)-MONTH($F30),1)=0)+(MONTH(S$6)&lt;&gt;MONTH(S$5))*(DATE(YEAR(S$6),MONTH(S$6),MIN(DAY($F30),DAY(EOMONTH(S$6,0))))&gt;=$F30)*(DATE(YEAR(S$6),MONTH(S$6),MIN(DAY($F30),DAY(EOMONTH(S$6,0))))&gt;=S$5)*(DATE(YEAR(S$6),MONTH(S$6),MIN(DAY($F30),DAY(EOMONTH(S$6,0))))&lt;=S$6)*(MOD((YEAR(S$6)-YEAR($F30))*12+MONTH(S$6)-MONTH($F30),1)=0)),IF($D30="Quarterly",((DATE(YEAR(S$5),MONTH(S$5),MIN(DAY($F30),DAY(EOMONTH(S$5,0))))&gt;=MAX(S$5,$F30))*(DATE(YEAR(S$5),MONTH(S$5),MIN(DAY($F30),DAY(EOMONTH(S$5,0))))&lt;=S$6)*(MOD((YEAR(S$5)-YEAR($F30))*12+MONTH(S$5)-MONTH($F30),3)=0)+(MONTH(S$6)&lt;&gt;MONTH(S$5))*(DATE(YEAR(S$6),MONTH(S$6),MIN(DAY($F30),DAY(EOMONTH(S$6,0))))&gt;=$F30)*(DATE(YEAR(S$6),MONTH(S$6),MIN(DAY($F30),DAY(EOMONTH(S$6,0))))&gt;=S$5)*(DATE(YEAR(S$6),MONTH(S$6),MIN(DAY($F30),DAY(EOMONTH(S$6,0))))&lt;=S$6)*(MOD((YEAR(S$6)-YEAR($F30))*12+MONTH(S$6)-MONTH($F30),3)=0)),IF($D30="One-off",($F30&gt;=S$5)*($F30&lt;=S$6),0))))))</f>
        <v>0</v>
      </c>
      <c r="T30" s="19">
        <f>IF(OR($E30="",$F30="",$D30=""),0,IF(OR($C30="Loan and finance repayments",$C30="VAT and taxes",$C30="Capital expenditure",$C30="Licences and regulatory fees"),1,1+CostAdj)*$E30*IF($D30="Weekly",(MAX(0,INT((T$6-$F30)/7)+1)-MAX(0,INT((T$5-1-$F30)/7)+1)),IF($D30="Fortnightly",(MAX(0,INT((T$6-$F30)/14)+1)-MAX(0,INT((T$5-1-$F30)/14)+1)),IF($D30="Monthly",((DATE(YEAR(T$5),MONTH(T$5),MIN(DAY($F30),DAY(EOMONTH(T$5,0))))&gt;=MAX(T$5,$F30))*(DATE(YEAR(T$5),MONTH(T$5),MIN(DAY($F30),DAY(EOMONTH(T$5,0))))&lt;=T$6)*(MOD((YEAR(T$5)-YEAR($F30))*12+MONTH(T$5)-MONTH($F30),1)=0)+(MONTH(T$6)&lt;&gt;MONTH(T$5))*(DATE(YEAR(T$6),MONTH(T$6),MIN(DAY($F30),DAY(EOMONTH(T$6,0))))&gt;=$F30)*(DATE(YEAR(T$6),MONTH(T$6),MIN(DAY($F30),DAY(EOMONTH(T$6,0))))&gt;=T$5)*(DATE(YEAR(T$6),MONTH(T$6),MIN(DAY($F30),DAY(EOMONTH(T$6,0))))&lt;=T$6)*(MOD((YEAR(T$6)-YEAR($F30))*12+MONTH(T$6)-MONTH($F30),1)=0)),IF($D30="Quarterly",((DATE(YEAR(T$5),MONTH(T$5),MIN(DAY($F30),DAY(EOMONTH(T$5,0))))&gt;=MAX(T$5,$F30))*(DATE(YEAR(T$5),MONTH(T$5),MIN(DAY($F30),DAY(EOMONTH(T$5,0))))&lt;=T$6)*(MOD((YEAR(T$5)-YEAR($F30))*12+MONTH(T$5)-MONTH($F30),3)=0)+(MONTH(T$6)&lt;&gt;MONTH(T$5))*(DATE(YEAR(T$6),MONTH(T$6),MIN(DAY($F30),DAY(EOMONTH(T$6,0))))&gt;=$F30)*(DATE(YEAR(T$6),MONTH(T$6),MIN(DAY($F30),DAY(EOMONTH(T$6,0))))&gt;=T$5)*(DATE(YEAR(T$6),MONTH(T$6),MIN(DAY($F30),DAY(EOMONTH(T$6,0))))&lt;=T$6)*(MOD((YEAR(T$6)-YEAR($F30))*12+MONTH(T$6)-MONTH($F30),3)=0)),IF($D30="One-off",($F30&gt;=T$5)*($F30&lt;=T$6),0))))))</f>
        <v>0</v>
      </c>
      <c r="U30" s="36">
        <f>SUM(H30:T30)</f>
        <v>0</v>
      </c>
    </row>
    <row r="31" spans="1:21">
      <c r="A31" s="42">
        <v>23</v>
      </c>
      <c r="B31" s="7"/>
      <c r="C31" s="7"/>
      <c r="D31" s="7"/>
      <c r="E31" s="18"/>
      <c r="F31" s="17"/>
      <c r="G31" s="7"/>
      <c r="H31" s="19">
        <f>IF(OR($E31="",$F31="",$D31=""),0,IF(OR($C31="Loan and finance repayments",$C31="VAT and taxes",$C31="Capital expenditure",$C31="Licences and regulatory fees"),1,1+CostAdj)*$E31*IF($D31="Weekly",(MAX(0,INT((H$6-$F31)/7)+1)-MAX(0,INT((H$5-1-$F31)/7)+1)),IF($D31="Fortnightly",(MAX(0,INT((H$6-$F31)/14)+1)-MAX(0,INT((H$5-1-$F31)/14)+1)),IF($D31="Monthly",((DATE(YEAR(H$5),MONTH(H$5),MIN(DAY($F31),DAY(EOMONTH(H$5,0))))&gt;=MAX(H$5,$F31))*(DATE(YEAR(H$5),MONTH(H$5),MIN(DAY($F31),DAY(EOMONTH(H$5,0))))&lt;=H$6)*(MOD((YEAR(H$5)-YEAR($F31))*12+MONTH(H$5)-MONTH($F31),1)=0)+(MONTH(H$6)&lt;&gt;MONTH(H$5))*(DATE(YEAR(H$6),MONTH(H$6),MIN(DAY($F31),DAY(EOMONTH(H$6,0))))&gt;=$F31)*(DATE(YEAR(H$6),MONTH(H$6),MIN(DAY($F31),DAY(EOMONTH(H$6,0))))&gt;=H$5)*(DATE(YEAR(H$6),MONTH(H$6),MIN(DAY($F31),DAY(EOMONTH(H$6,0))))&lt;=H$6)*(MOD((YEAR(H$6)-YEAR($F31))*12+MONTH(H$6)-MONTH($F31),1)=0)),IF($D31="Quarterly",((DATE(YEAR(H$5),MONTH(H$5),MIN(DAY($F31),DAY(EOMONTH(H$5,0))))&gt;=MAX(H$5,$F31))*(DATE(YEAR(H$5),MONTH(H$5),MIN(DAY($F31),DAY(EOMONTH(H$5,0))))&lt;=H$6)*(MOD((YEAR(H$5)-YEAR($F31))*12+MONTH(H$5)-MONTH($F31),3)=0)+(MONTH(H$6)&lt;&gt;MONTH(H$5))*(DATE(YEAR(H$6),MONTH(H$6),MIN(DAY($F31),DAY(EOMONTH(H$6,0))))&gt;=$F31)*(DATE(YEAR(H$6),MONTH(H$6),MIN(DAY($F31),DAY(EOMONTH(H$6,0))))&gt;=H$5)*(DATE(YEAR(H$6),MONTH(H$6),MIN(DAY($F31),DAY(EOMONTH(H$6,0))))&lt;=H$6)*(MOD((YEAR(H$6)-YEAR($F31))*12+MONTH(H$6)-MONTH($F31),3)=0)),IF($D31="One-off",($F31&gt;=H$5)*($F31&lt;=H$6),0))))))</f>
        <v>0</v>
      </c>
      <c r="I31" s="19">
        <f>IF(OR($E31="",$F31="",$D31=""),0,IF(OR($C31="Loan and finance repayments",$C31="VAT and taxes",$C31="Capital expenditure",$C31="Licences and regulatory fees"),1,1+CostAdj)*$E31*IF($D31="Weekly",(MAX(0,INT((I$6-$F31)/7)+1)-MAX(0,INT((I$5-1-$F31)/7)+1)),IF($D31="Fortnightly",(MAX(0,INT((I$6-$F31)/14)+1)-MAX(0,INT((I$5-1-$F31)/14)+1)),IF($D31="Monthly",((DATE(YEAR(I$5),MONTH(I$5),MIN(DAY($F31),DAY(EOMONTH(I$5,0))))&gt;=MAX(I$5,$F31))*(DATE(YEAR(I$5),MONTH(I$5),MIN(DAY($F31),DAY(EOMONTH(I$5,0))))&lt;=I$6)*(MOD((YEAR(I$5)-YEAR($F31))*12+MONTH(I$5)-MONTH($F31),1)=0)+(MONTH(I$6)&lt;&gt;MONTH(I$5))*(DATE(YEAR(I$6),MONTH(I$6),MIN(DAY($F31),DAY(EOMONTH(I$6,0))))&gt;=$F31)*(DATE(YEAR(I$6),MONTH(I$6),MIN(DAY($F31),DAY(EOMONTH(I$6,0))))&gt;=I$5)*(DATE(YEAR(I$6),MONTH(I$6),MIN(DAY($F31),DAY(EOMONTH(I$6,0))))&lt;=I$6)*(MOD((YEAR(I$6)-YEAR($F31))*12+MONTH(I$6)-MONTH($F31),1)=0)),IF($D31="Quarterly",((DATE(YEAR(I$5),MONTH(I$5),MIN(DAY($F31),DAY(EOMONTH(I$5,0))))&gt;=MAX(I$5,$F31))*(DATE(YEAR(I$5),MONTH(I$5),MIN(DAY($F31),DAY(EOMONTH(I$5,0))))&lt;=I$6)*(MOD((YEAR(I$5)-YEAR($F31))*12+MONTH(I$5)-MONTH($F31),3)=0)+(MONTH(I$6)&lt;&gt;MONTH(I$5))*(DATE(YEAR(I$6),MONTH(I$6),MIN(DAY($F31),DAY(EOMONTH(I$6,0))))&gt;=$F31)*(DATE(YEAR(I$6),MONTH(I$6),MIN(DAY($F31),DAY(EOMONTH(I$6,0))))&gt;=I$5)*(DATE(YEAR(I$6),MONTH(I$6),MIN(DAY($F31),DAY(EOMONTH(I$6,0))))&lt;=I$6)*(MOD((YEAR(I$6)-YEAR($F31))*12+MONTH(I$6)-MONTH($F31),3)=0)),IF($D31="One-off",($F31&gt;=I$5)*($F31&lt;=I$6),0))))))</f>
        <v>0</v>
      </c>
      <c r="J31" s="19">
        <f>IF(OR($E31="",$F31="",$D31=""),0,IF(OR($C31="Loan and finance repayments",$C31="VAT and taxes",$C31="Capital expenditure",$C31="Licences and regulatory fees"),1,1+CostAdj)*$E31*IF($D31="Weekly",(MAX(0,INT((J$6-$F31)/7)+1)-MAX(0,INT((J$5-1-$F31)/7)+1)),IF($D31="Fortnightly",(MAX(0,INT((J$6-$F31)/14)+1)-MAX(0,INT((J$5-1-$F31)/14)+1)),IF($D31="Monthly",((DATE(YEAR(J$5),MONTH(J$5),MIN(DAY($F31),DAY(EOMONTH(J$5,0))))&gt;=MAX(J$5,$F31))*(DATE(YEAR(J$5),MONTH(J$5),MIN(DAY($F31),DAY(EOMONTH(J$5,0))))&lt;=J$6)*(MOD((YEAR(J$5)-YEAR($F31))*12+MONTH(J$5)-MONTH($F31),1)=0)+(MONTH(J$6)&lt;&gt;MONTH(J$5))*(DATE(YEAR(J$6),MONTH(J$6),MIN(DAY($F31),DAY(EOMONTH(J$6,0))))&gt;=$F31)*(DATE(YEAR(J$6),MONTH(J$6),MIN(DAY($F31),DAY(EOMONTH(J$6,0))))&gt;=J$5)*(DATE(YEAR(J$6),MONTH(J$6),MIN(DAY($F31),DAY(EOMONTH(J$6,0))))&lt;=J$6)*(MOD((YEAR(J$6)-YEAR($F31))*12+MONTH(J$6)-MONTH($F31),1)=0)),IF($D31="Quarterly",((DATE(YEAR(J$5),MONTH(J$5),MIN(DAY($F31),DAY(EOMONTH(J$5,0))))&gt;=MAX(J$5,$F31))*(DATE(YEAR(J$5),MONTH(J$5),MIN(DAY($F31),DAY(EOMONTH(J$5,0))))&lt;=J$6)*(MOD((YEAR(J$5)-YEAR($F31))*12+MONTH(J$5)-MONTH($F31),3)=0)+(MONTH(J$6)&lt;&gt;MONTH(J$5))*(DATE(YEAR(J$6),MONTH(J$6),MIN(DAY($F31),DAY(EOMONTH(J$6,0))))&gt;=$F31)*(DATE(YEAR(J$6),MONTH(J$6),MIN(DAY($F31),DAY(EOMONTH(J$6,0))))&gt;=J$5)*(DATE(YEAR(J$6),MONTH(J$6),MIN(DAY($F31),DAY(EOMONTH(J$6,0))))&lt;=J$6)*(MOD((YEAR(J$6)-YEAR($F31))*12+MONTH(J$6)-MONTH($F31),3)=0)),IF($D31="One-off",($F31&gt;=J$5)*($F31&lt;=J$6),0))))))</f>
        <v>0</v>
      </c>
      <c r="K31" s="19">
        <f>IF(OR($E31="",$F31="",$D31=""),0,IF(OR($C31="Loan and finance repayments",$C31="VAT and taxes",$C31="Capital expenditure",$C31="Licences and regulatory fees"),1,1+CostAdj)*$E31*IF($D31="Weekly",(MAX(0,INT((K$6-$F31)/7)+1)-MAX(0,INT((K$5-1-$F31)/7)+1)),IF($D31="Fortnightly",(MAX(0,INT((K$6-$F31)/14)+1)-MAX(0,INT((K$5-1-$F31)/14)+1)),IF($D31="Monthly",((DATE(YEAR(K$5),MONTH(K$5),MIN(DAY($F31),DAY(EOMONTH(K$5,0))))&gt;=MAX(K$5,$F31))*(DATE(YEAR(K$5),MONTH(K$5),MIN(DAY($F31),DAY(EOMONTH(K$5,0))))&lt;=K$6)*(MOD((YEAR(K$5)-YEAR($F31))*12+MONTH(K$5)-MONTH($F31),1)=0)+(MONTH(K$6)&lt;&gt;MONTH(K$5))*(DATE(YEAR(K$6),MONTH(K$6),MIN(DAY($F31),DAY(EOMONTH(K$6,0))))&gt;=$F31)*(DATE(YEAR(K$6),MONTH(K$6),MIN(DAY($F31),DAY(EOMONTH(K$6,0))))&gt;=K$5)*(DATE(YEAR(K$6),MONTH(K$6),MIN(DAY($F31),DAY(EOMONTH(K$6,0))))&lt;=K$6)*(MOD((YEAR(K$6)-YEAR($F31))*12+MONTH(K$6)-MONTH($F31),1)=0)),IF($D31="Quarterly",((DATE(YEAR(K$5),MONTH(K$5),MIN(DAY($F31),DAY(EOMONTH(K$5,0))))&gt;=MAX(K$5,$F31))*(DATE(YEAR(K$5),MONTH(K$5),MIN(DAY($F31),DAY(EOMONTH(K$5,0))))&lt;=K$6)*(MOD((YEAR(K$5)-YEAR($F31))*12+MONTH(K$5)-MONTH($F31),3)=0)+(MONTH(K$6)&lt;&gt;MONTH(K$5))*(DATE(YEAR(K$6),MONTH(K$6),MIN(DAY($F31),DAY(EOMONTH(K$6,0))))&gt;=$F31)*(DATE(YEAR(K$6),MONTH(K$6),MIN(DAY($F31),DAY(EOMONTH(K$6,0))))&gt;=K$5)*(DATE(YEAR(K$6),MONTH(K$6),MIN(DAY($F31),DAY(EOMONTH(K$6,0))))&lt;=K$6)*(MOD((YEAR(K$6)-YEAR($F31))*12+MONTH(K$6)-MONTH($F31),3)=0)),IF($D31="One-off",($F31&gt;=K$5)*($F31&lt;=K$6),0))))))</f>
        <v>0</v>
      </c>
      <c r="L31" s="19">
        <f>IF(OR($E31="",$F31="",$D31=""),0,IF(OR($C31="Loan and finance repayments",$C31="VAT and taxes",$C31="Capital expenditure",$C31="Licences and regulatory fees"),1,1+CostAdj)*$E31*IF($D31="Weekly",(MAX(0,INT((L$6-$F31)/7)+1)-MAX(0,INT((L$5-1-$F31)/7)+1)),IF($D31="Fortnightly",(MAX(0,INT((L$6-$F31)/14)+1)-MAX(0,INT((L$5-1-$F31)/14)+1)),IF($D31="Monthly",((DATE(YEAR(L$5),MONTH(L$5),MIN(DAY($F31),DAY(EOMONTH(L$5,0))))&gt;=MAX(L$5,$F31))*(DATE(YEAR(L$5),MONTH(L$5),MIN(DAY($F31),DAY(EOMONTH(L$5,0))))&lt;=L$6)*(MOD((YEAR(L$5)-YEAR($F31))*12+MONTH(L$5)-MONTH($F31),1)=0)+(MONTH(L$6)&lt;&gt;MONTH(L$5))*(DATE(YEAR(L$6),MONTH(L$6),MIN(DAY($F31),DAY(EOMONTH(L$6,0))))&gt;=$F31)*(DATE(YEAR(L$6),MONTH(L$6),MIN(DAY($F31),DAY(EOMONTH(L$6,0))))&gt;=L$5)*(DATE(YEAR(L$6),MONTH(L$6),MIN(DAY($F31),DAY(EOMONTH(L$6,0))))&lt;=L$6)*(MOD((YEAR(L$6)-YEAR($F31))*12+MONTH(L$6)-MONTH($F31),1)=0)),IF($D31="Quarterly",((DATE(YEAR(L$5),MONTH(L$5),MIN(DAY($F31),DAY(EOMONTH(L$5,0))))&gt;=MAX(L$5,$F31))*(DATE(YEAR(L$5),MONTH(L$5),MIN(DAY($F31),DAY(EOMONTH(L$5,0))))&lt;=L$6)*(MOD((YEAR(L$5)-YEAR($F31))*12+MONTH(L$5)-MONTH($F31),3)=0)+(MONTH(L$6)&lt;&gt;MONTH(L$5))*(DATE(YEAR(L$6),MONTH(L$6),MIN(DAY($F31),DAY(EOMONTH(L$6,0))))&gt;=$F31)*(DATE(YEAR(L$6),MONTH(L$6),MIN(DAY($F31),DAY(EOMONTH(L$6,0))))&gt;=L$5)*(DATE(YEAR(L$6),MONTH(L$6),MIN(DAY($F31),DAY(EOMONTH(L$6,0))))&lt;=L$6)*(MOD((YEAR(L$6)-YEAR($F31))*12+MONTH(L$6)-MONTH($F31),3)=0)),IF($D31="One-off",($F31&gt;=L$5)*($F31&lt;=L$6),0))))))</f>
        <v>0</v>
      </c>
      <c r="M31" s="19">
        <f>IF(OR($E31="",$F31="",$D31=""),0,IF(OR($C31="Loan and finance repayments",$C31="VAT and taxes",$C31="Capital expenditure",$C31="Licences and regulatory fees"),1,1+CostAdj)*$E31*IF($D31="Weekly",(MAX(0,INT((M$6-$F31)/7)+1)-MAX(0,INT((M$5-1-$F31)/7)+1)),IF($D31="Fortnightly",(MAX(0,INT((M$6-$F31)/14)+1)-MAX(0,INT((M$5-1-$F31)/14)+1)),IF($D31="Monthly",((DATE(YEAR(M$5),MONTH(M$5),MIN(DAY($F31),DAY(EOMONTH(M$5,0))))&gt;=MAX(M$5,$F31))*(DATE(YEAR(M$5),MONTH(M$5),MIN(DAY($F31),DAY(EOMONTH(M$5,0))))&lt;=M$6)*(MOD((YEAR(M$5)-YEAR($F31))*12+MONTH(M$5)-MONTH($F31),1)=0)+(MONTH(M$6)&lt;&gt;MONTH(M$5))*(DATE(YEAR(M$6),MONTH(M$6),MIN(DAY($F31),DAY(EOMONTH(M$6,0))))&gt;=$F31)*(DATE(YEAR(M$6),MONTH(M$6),MIN(DAY($F31),DAY(EOMONTH(M$6,0))))&gt;=M$5)*(DATE(YEAR(M$6),MONTH(M$6),MIN(DAY($F31),DAY(EOMONTH(M$6,0))))&lt;=M$6)*(MOD((YEAR(M$6)-YEAR($F31))*12+MONTH(M$6)-MONTH($F31),1)=0)),IF($D31="Quarterly",((DATE(YEAR(M$5),MONTH(M$5),MIN(DAY($F31),DAY(EOMONTH(M$5,0))))&gt;=MAX(M$5,$F31))*(DATE(YEAR(M$5),MONTH(M$5),MIN(DAY($F31),DAY(EOMONTH(M$5,0))))&lt;=M$6)*(MOD((YEAR(M$5)-YEAR($F31))*12+MONTH(M$5)-MONTH($F31),3)=0)+(MONTH(M$6)&lt;&gt;MONTH(M$5))*(DATE(YEAR(M$6),MONTH(M$6),MIN(DAY($F31),DAY(EOMONTH(M$6,0))))&gt;=$F31)*(DATE(YEAR(M$6),MONTH(M$6),MIN(DAY($F31),DAY(EOMONTH(M$6,0))))&gt;=M$5)*(DATE(YEAR(M$6),MONTH(M$6),MIN(DAY($F31),DAY(EOMONTH(M$6,0))))&lt;=M$6)*(MOD((YEAR(M$6)-YEAR($F31))*12+MONTH(M$6)-MONTH($F31),3)=0)),IF($D31="One-off",($F31&gt;=M$5)*($F31&lt;=M$6),0))))))</f>
        <v>0</v>
      </c>
      <c r="N31" s="19">
        <f>IF(OR($E31="",$F31="",$D31=""),0,IF(OR($C31="Loan and finance repayments",$C31="VAT and taxes",$C31="Capital expenditure",$C31="Licences and regulatory fees"),1,1+CostAdj)*$E31*IF($D31="Weekly",(MAX(0,INT((N$6-$F31)/7)+1)-MAX(0,INT((N$5-1-$F31)/7)+1)),IF($D31="Fortnightly",(MAX(0,INT((N$6-$F31)/14)+1)-MAX(0,INT((N$5-1-$F31)/14)+1)),IF($D31="Monthly",((DATE(YEAR(N$5),MONTH(N$5),MIN(DAY($F31),DAY(EOMONTH(N$5,0))))&gt;=MAX(N$5,$F31))*(DATE(YEAR(N$5),MONTH(N$5),MIN(DAY($F31),DAY(EOMONTH(N$5,0))))&lt;=N$6)*(MOD((YEAR(N$5)-YEAR($F31))*12+MONTH(N$5)-MONTH($F31),1)=0)+(MONTH(N$6)&lt;&gt;MONTH(N$5))*(DATE(YEAR(N$6),MONTH(N$6),MIN(DAY($F31),DAY(EOMONTH(N$6,0))))&gt;=$F31)*(DATE(YEAR(N$6),MONTH(N$6),MIN(DAY($F31),DAY(EOMONTH(N$6,0))))&gt;=N$5)*(DATE(YEAR(N$6),MONTH(N$6),MIN(DAY($F31),DAY(EOMONTH(N$6,0))))&lt;=N$6)*(MOD((YEAR(N$6)-YEAR($F31))*12+MONTH(N$6)-MONTH($F31),1)=0)),IF($D31="Quarterly",((DATE(YEAR(N$5),MONTH(N$5),MIN(DAY($F31),DAY(EOMONTH(N$5,0))))&gt;=MAX(N$5,$F31))*(DATE(YEAR(N$5),MONTH(N$5),MIN(DAY($F31),DAY(EOMONTH(N$5,0))))&lt;=N$6)*(MOD((YEAR(N$5)-YEAR($F31))*12+MONTH(N$5)-MONTH($F31),3)=0)+(MONTH(N$6)&lt;&gt;MONTH(N$5))*(DATE(YEAR(N$6),MONTH(N$6),MIN(DAY($F31),DAY(EOMONTH(N$6,0))))&gt;=$F31)*(DATE(YEAR(N$6),MONTH(N$6),MIN(DAY($F31),DAY(EOMONTH(N$6,0))))&gt;=N$5)*(DATE(YEAR(N$6),MONTH(N$6),MIN(DAY($F31),DAY(EOMONTH(N$6,0))))&lt;=N$6)*(MOD((YEAR(N$6)-YEAR($F31))*12+MONTH(N$6)-MONTH($F31),3)=0)),IF($D31="One-off",($F31&gt;=N$5)*($F31&lt;=N$6),0))))))</f>
        <v>0</v>
      </c>
      <c r="O31" s="19">
        <f>IF(OR($E31="",$F31="",$D31=""),0,IF(OR($C31="Loan and finance repayments",$C31="VAT and taxes",$C31="Capital expenditure",$C31="Licences and regulatory fees"),1,1+CostAdj)*$E31*IF($D31="Weekly",(MAX(0,INT((O$6-$F31)/7)+1)-MAX(0,INT((O$5-1-$F31)/7)+1)),IF($D31="Fortnightly",(MAX(0,INT((O$6-$F31)/14)+1)-MAX(0,INT((O$5-1-$F31)/14)+1)),IF($D31="Monthly",((DATE(YEAR(O$5),MONTH(O$5),MIN(DAY($F31),DAY(EOMONTH(O$5,0))))&gt;=MAX(O$5,$F31))*(DATE(YEAR(O$5),MONTH(O$5),MIN(DAY($F31),DAY(EOMONTH(O$5,0))))&lt;=O$6)*(MOD((YEAR(O$5)-YEAR($F31))*12+MONTH(O$5)-MONTH($F31),1)=0)+(MONTH(O$6)&lt;&gt;MONTH(O$5))*(DATE(YEAR(O$6),MONTH(O$6),MIN(DAY($F31),DAY(EOMONTH(O$6,0))))&gt;=$F31)*(DATE(YEAR(O$6),MONTH(O$6),MIN(DAY($F31),DAY(EOMONTH(O$6,0))))&gt;=O$5)*(DATE(YEAR(O$6),MONTH(O$6),MIN(DAY($F31),DAY(EOMONTH(O$6,0))))&lt;=O$6)*(MOD((YEAR(O$6)-YEAR($F31))*12+MONTH(O$6)-MONTH($F31),1)=0)),IF($D31="Quarterly",((DATE(YEAR(O$5),MONTH(O$5),MIN(DAY($F31),DAY(EOMONTH(O$5,0))))&gt;=MAX(O$5,$F31))*(DATE(YEAR(O$5),MONTH(O$5),MIN(DAY($F31),DAY(EOMONTH(O$5,0))))&lt;=O$6)*(MOD((YEAR(O$5)-YEAR($F31))*12+MONTH(O$5)-MONTH($F31),3)=0)+(MONTH(O$6)&lt;&gt;MONTH(O$5))*(DATE(YEAR(O$6),MONTH(O$6),MIN(DAY($F31),DAY(EOMONTH(O$6,0))))&gt;=$F31)*(DATE(YEAR(O$6),MONTH(O$6),MIN(DAY($F31),DAY(EOMONTH(O$6,0))))&gt;=O$5)*(DATE(YEAR(O$6),MONTH(O$6),MIN(DAY($F31),DAY(EOMONTH(O$6,0))))&lt;=O$6)*(MOD((YEAR(O$6)-YEAR($F31))*12+MONTH(O$6)-MONTH($F31),3)=0)),IF($D31="One-off",($F31&gt;=O$5)*($F31&lt;=O$6),0))))))</f>
        <v>0</v>
      </c>
      <c r="P31" s="19">
        <f>IF(OR($E31="",$F31="",$D31=""),0,IF(OR($C31="Loan and finance repayments",$C31="VAT and taxes",$C31="Capital expenditure",$C31="Licences and regulatory fees"),1,1+CostAdj)*$E31*IF($D31="Weekly",(MAX(0,INT((P$6-$F31)/7)+1)-MAX(0,INT((P$5-1-$F31)/7)+1)),IF($D31="Fortnightly",(MAX(0,INT((P$6-$F31)/14)+1)-MAX(0,INT((P$5-1-$F31)/14)+1)),IF($D31="Monthly",((DATE(YEAR(P$5),MONTH(P$5),MIN(DAY($F31),DAY(EOMONTH(P$5,0))))&gt;=MAX(P$5,$F31))*(DATE(YEAR(P$5),MONTH(P$5),MIN(DAY($F31),DAY(EOMONTH(P$5,0))))&lt;=P$6)*(MOD((YEAR(P$5)-YEAR($F31))*12+MONTH(P$5)-MONTH($F31),1)=0)+(MONTH(P$6)&lt;&gt;MONTH(P$5))*(DATE(YEAR(P$6),MONTH(P$6),MIN(DAY($F31),DAY(EOMONTH(P$6,0))))&gt;=$F31)*(DATE(YEAR(P$6),MONTH(P$6),MIN(DAY($F31),DAY(EOMONTH(P$6,0))))&gt;=P$5)*(DATE(YEAR(P$6),MONTH(P$6),MIN(DAY($F31),DAY(EOMONTH(P$6,0))))&lt;=P$6)*(MOD((YEAR(P$6)-YEAR($F31))*12+MONTH(P$6)-MONTH($F31),1)=0)),IF($D31="Quarterly",((DATE(YEAR(P$5),MONTH(P$5),MIN(DAY($F31),DAY(EOMONTH(P$5,0))))&gt;=MAX(P$5,$F31))*(DATE(YEAR(P$5),MONTH(P$5),MIN(DAY($F31),DAY(EOMONTH(P$5,0))))&lt;=P$6)*(MOD((YEAR(P$5)-YEAR($F31))*12+MONTH(P$5)-MONTH($F31),3)=0)+(MONTH(P$6)&lt;&gt;MONTH(P$5))*(DATE(YEAR(P$6),MONTH(P$6),MIN(DAY($F31),DAY(EOMONTH(P$6,0))))&gt;=$F31)*(DATE(YEAR(P$6),MONTH(P$6),MIN(DAY($F31),DAY(EOMONTH(P$6,0))))&gt;=P$5)*(DATE(YEAR(P$6),MONTH(P$6),MIN(DAY($F31),DAY(EOMONTH(P$6,0))))&lt;=P$6)*(MOD((YEAR(P$6)-YEAR($F31))*12+MONTH(P$6)-MONTH($F31),3)=0)),IF($D31="One-off",($F31&gt;=P$5)*($F31&lt;=P$6),0))))))</f>
        <v>0</v>
      </c>
      <c r="Q31" s="19">
        <f>IF(OR($E31="",$F31="",$D31=""),0,IF(OR($C31="Loan and finance repayments",$C31="VAT and taxes",$C31="Capital expenditure",$C31="Licences and regulatory fees"),1,1+CostAdj)*$E31*IF($D31="Weekly",(MAX(0,INT((Q$6-$F31)/7)+1)-MAX(0,INT((Q$5-1-$F31)/7)+1)),IF($D31="Fortnightly",(MAX(0,INT((Q$6-$F31)/14)+1)-MAX(0,INT((Q$5-1-$F31)/14)+1)),IF($D31="Monthly",((DATE(YEAR(Q$5),MONTH(Q$5),MIN(DAY($F31),DAY(EOMONTH(Q$5,0))))&gt;=MAX(Q$5,$F31))*(DATE(YEAR(Q$5),MONTH(Q$5),MIN(DAY($F31),DAY(EOMONTH(Q$5,0))))&lt;=Q$6)*(MOD((YEAR(Q$5)-YEAR($F31))*12+MONTH(Q$5)-MONTH($F31),1)=0)+(MONTH(Q$6)&lt;&gt;MONTH(Q$5))*(DATE(YEAR(Q$6),MONTH(Q$6),MIN(DAY($F31),DAY(EOMONTH(Q$6,0))))&gt;=$F31)*(DATE(YEAR(Q$6),MONTH(Q$6),MIN(DAY($F31),DAY(EOMONTH(Q$6,0))))&gt;=Q$5)*(DATE(YEAR(Q$6),MONTH(Q$6),MIN(DAY($F31),DAY(EOMONTH(Q$6,0))))&lt;=Q$6)*(MOD((YEAR(Q$6)-YEAR($F31))*12+MONTH(Q$6)-MONTH($F31),1)=0)),IF($D31="Quarterly",((DATE(YEAR(Q$5),MONTH(Q$5),MIN(DAY($F31),DAY(EOMONTH(Q$5,0))))&gt;=MAX(Q$5,$F31))*(DATE(YEAR(Q$5),MONTH(Q$5),MIN(DAY($F31),DAY(EOMONTH(Q$5,0))))&lt;=Q$6)*(MOD((YEAR(Q$5)-YEAR($F31))*12+MONTH(Q$5)-MONTH($F31),3)=0)+(MONTH(Q$6)&lt;&gt;MONTH(Q$5))*(DATE(YEAR(Q$6),MONTH(Q$6),MIN(DAY($F31),DAY(EOMONTH(Q$6,0))))&gt;=$F31)*(DATE(YEAR(Q$6),MONTH(Q$6),MIN(DAY($F31),DAY(EOMONTH(Q$6,0))))&gt;=Q$5)*(DATE(YEAR(Q$6),MONTH(Q$6),MIN(DAY($F31),DAY(EOMONTH(Q$6,0))))&lt;=Q$6)*(MOD((YEAR(Q$6)-YEAR($F31))*12+MONTH(Q$6)-MONTH($F31),3)=0)),IF($D31="One-off",($F31&gt;=Q$5)*($F31&lt;=Q$6),0))))))</f>
        <v>0</v>
      </c>
      <c r="R31" s="19">
        <f>IF(OR($E31="",$F31="",$D31=""),0,IF(OR($C31="Loan and finance repayments",$C31="VAT and taxes",$C31="Capital expenditure",$C31="Licences and regulatory fees"),1,1+CostAdj)*$E31*IF($D31="Weekly",(MAX(0,INT((R$6-$F31)/7)+1)-MAX(0,INT((R$5-1-$F31)/7)+1)),IF($D31="Fortnightly",(MAX(0,INT((R$6-$F31)/14)+1)-MAX(0,INT((R$5-1-$F31)/14)+1)),IF($D31="Monthly",((DATE(YEAR(R$5),MONTH(R$5),MIN(DAY($F31),DAY(EOMONTH(R$5,0))))&gt;=MAX(R$5,$F31))*(DATE(YEAR(R$5),MONTH(R$5),MIN(DAY($F31),DAY(EOMONTH(R$5,0))))&lt;=R$6)*(MOD((YEAR(R$5)-YEAR($F31))*12+MONTH(R$5)-MONTH($F31),1)=0)+(MONTH(R$6)&lt;&gt;MONTH(R$5))*(DATE(YEAR(R$6),MONTH(R$6),MIN(DAY($F31),DAY(EOMONTH(R$6,0))))&gt;=$F31)*(DATE(YEAR(R$6),MONTH(R$6),MIN(DAY($F31),DAY(EOMONTH(R$6,0))))&gt;=R$5)*(DATE(YEAR(R$6),MONTH(R$6),MIN(DAY($F31),DAY(EOMONTH(R$6,0))))&lt;=R$6)*(MOD((YEAR(R$6)-YEAR($F31))*12+MONTH(R$6)-MONTH($F31),1)=0)),IF($D31="Quarterly",((DATE(YEAR(R$5),MONTH(R$5),MIN(DAY($F31),DAY(EOMONTH(R$5,0))))&gt;=MAX(R$5,$F31))*(DATE(YEAR(R$5),MONTH(R$5),MIN(DAY($F31),DAY(EOMONTH(R$5,0))))&lt;=R$6)*(MOD((YEAR(R$5)-YEAR($F31))*12+MONTH(R$5)-MONTH($F31),3)=0)+(MONTH(R$6)&lt;&gt;MONTH(R$5))*(DATE(YEAR(R$6),MONTH(R$6),MIN(DAY($F31),DAY(EOMONTH(R$6,0))))&gt;=$F31)*(DATE(YEAR(R$6),MONTH(R$6),MIN(DAY($F31),DAY(EOMONTH(R$6,0))))&gt;=R$5)*(DATE(YEAR(R$6),MONTH(R$6),MIN(DAY($F31),DAY(EOMONTH(R$6,0))))&lt;=R$6)*(MOD((YEAR(R$6)-YEAR($F31))*12+MONTH(R$6)-MONTH($F31),3)=0)),IF($D31="One-off",($F31&gt;=R$5)*($F31&lt;=R$6),0))))))</f>
        <v>0</v>
      </c>
      <c r="S31" s="19">
        <f>IF(OR($E31="",$F31="",$D31=""),0,IF(OR($C31="Loan and finance repayments",$C31="VAT and taxes",$C31="Capital expenditure",$C31="Licences and regulatory fees"),1,1+CostAdj)*$E31*IF($D31="Weekly",(MAX(0,INT((S$6-$F31)/7)+1)-MAX(0,INT((S$5-1-$F31)/7)+1)),IF($D31="Fortnightly",(MAX(0,INT((S$6-$F31)/14)+1)-MAX(0,INT((S$5-1-$F31)/14)+1)),IF($D31="Monthly",((DATE(YEAR(S$5),MONTH(S$5),MIN(DAY($F31),DAY(EOMONTH(S$5,0))))&gt;=MAX(S$5,$F31))*(DATE(YEAR(S$5),MONTH(S$5),MIN(DAY($F31),DAY(EOMONTH(S$5,0))))&lt;=S$6)*(MOD((YEAR(S$5)-YEAR($F31))*12+MONTH(S$5)-MONTH($F31),1)=0)+(MONTH(S$6)&lt;&gt;MONTH(S$5))*(DATE(YEAR(S$6),MONTH(S$6),MIN(DAY($F31),DAY(EOMONTH(S$6,0))))&gt;=$F31)*(DATE(YEAR(S$6),MONTH(S$6),MIN(DAY($F31),DAY(EOMONTH(S$6,0))))&gt;=S$5)*(DATE(YEAR(S$6),MONTH(S$6),MIN(DAY($F31),DAY(EOMONTH(S$6,0))))&lt;=S$6)*(MOD((YEAR(S$6)-YEAR($F31))*12+MONTH(S$6)-MONTH($F31),1)=0)),IF($D31="Quarterly",((DATE(YEAR(S$5),MONTH(S$5),MIN(DAY($F31),DAY(EOMONTH(S$5,0))))&gt;=MAX(S$5,$F31))*(DATE(YEAR(S$5),MONTH(S$5),MIN(DAY($F31),DAY(EOMONTH(S$5,0))))&lt;=S$6)*(MOD((YEAR(S$5)-YEAR($F31))*12+MONTH(S$5)-MONTH($F31),3)=0)+(MONTH(S$6)&lt;&gt;MONTH(S$5))*(DATE(YEAR(S$6),MONTH(S$6),MIN(DAY($F31),DAY(EOMONTH(S$6,0))))&gt;=$F31)*(DATE(YEAR(S$6),MONTH(S$6),MIN(DAY($F31),DAY(EOMONTH(S$6,0))))&gt;=S$5)*(DATE(YEAR(S$6),MONTH(S$6),MIN(DAY($F31),DAY(EOMONTH(S$6,0))))&lt;=S$6)*(MOD((YEAR(S$6)-YEAR($F31))*12+MONTH(S$6)-MONTH($F31),3)=0)),IF($D31="One-off",($F31&gt;=S$5)*($F31&lt;=S$6),0))))))</f>
        <v>0</v>
      </c>
      <c r="T31" s="19">
        <f>IF(OR($E31="",$F31="",$D31=""),0,IF(OR($C31="Loan and finance repayments",$C31="VAT and taxes",$C31="Capital expenditure",$C31="Licences and regulatory fees"),1,1+CostAdj)*$E31*IF($D31="Weekly",(MAX(0,INT((T$6-$F31)/7)+1)-MAX(0,INT((T$5-1-$F31)/7)+1)),IF($D31="Fortnightly",(MAX(0,INT((T$6-$F31)/14)+1)-MAX(0,INT((T$5-1-$F31)/14)+1)),IF($D31="Monthly",((DATE(YEAR(T$5),MONTH(T$5),MIN(DAY($F31),DAY(EOMONTH(T$5,0))))&gt;=MAX(T$5,$F31))*(DATE(YEAR(T$5),MONTH(T$5),MIN(DAY($F31),DAY(EOMONTH(T$5,0))))&lt;=T$6)*(MOD((YEAR(T$5)-YEAR($F31))*12+MONTH(T$5)-MONTH($F31),1)=0)+(MONTH(T$6)&lt;&gt;MONTH(T$5))*(DATE(YEAR(T$6),MONTH(T$6),MIN(DAY($F31),DAY(EOMONTH(T$6,0))))&gt;=$F31)*(DATE(YEAR(T$6),MONTH(T$6),MIN(DAY($F31),DAY(EOMONTH(T$6,0))))&gt;=T$5)*(DATE(YEAR(T$6),MONTH(T$6),MIN(DAY($F31),DAY(EOMONTH(T$6,0))))&lt;=T$6)*(MOD((YEAR(T$6)-YEAR($F31))*12+MONTH(T$6)-MONTH($F31),1)=0)),IF($D31="Quarterly",((DATE(YEAR(T$5),MONTH(T$5),MIN(DAY($F31),DAY(EOMONTH(T$5,0))))&gt;=MAX(T$5,$F31))*(DATE(YEAR(T$5),MONTH(T$5),MIN(DAY($F31),DAY(EOMONTH(T$5,0))))&lt;=T$6)*(MOD((YEAR(T$5)-YEAR($F31))*12+MONTH(T$5)-MONTH($F31),3)=0)+(MONTH(T$6)&lt;&gt;MONTH(T$5))*(DATE(YEAR(T$6),MONTH(T$6),MIN(DAY($F31),DAY(EOMONTH(T$6,0))))&gt;=$F31)*(DATE(YEAR(T$6),MONTH(T$6),MIN(DAY($F31),DAY(EOMONTH(T$6,0))))&gt;=T$5)*(DATE(YEAR(T$6),MONTH(T$6),MIN(DAY($F31),DAY(EOMONTH(T$6,0))))&lt;=T$6)*(MOD((YEAR(T$6)-YEAR($F31))*12+MONTH(T$6)-MONTH($F31),3)=0)),IF($D31="One-off",($F31&gt;=T$5)*($F31&lt;=T$6),0))))))</f>
        <v>0</v>
      </c>
      <c r="U31" s="36">
        <f>SUM(H31:T31)</f>
        <v>0</v>
      </c>
    </row>
    <row r="32" spans="1:21">
      <c r="A32" s="42">
        <v>24</v>
      </c>
      <c r="B32" s="7"/>
      <c r="C32" s="7"/>
      <c r="D32" s="7"/>
      <c r="E32" s="18"/>
      <c r="F32" s="17"/>
      <c r="G32" s="7"/>
      <c r="H32" s="19">
        <f>IF(OR($E32="",$F32="",$D32=""),0,IF(OR($C32="Loan and finance repayments",$C32="VAT and taxes",$C32="Capital expenditure",$C32="Licences and regulatory fees"),1,1+CostAdj)*$E32*IF($D32="Weekly",(MAX(0,INT((H$6-$F32)/7)+1)-MAX(0,INT((H$5-1-$F32)/7)+1)),IF($D32="Fortnightly",(MAX(0,INT((H$6-$F32)/14)+1)-MAX(0,INT((H$5-1-$F32)/14)+1)),IF($D32="Monthly",((DATE(YEAR(H$5),MONTH(H$5),MIN(DAY($F32),DAY(EOMONTH(H$5,0))))&gt;=MAX(H$5,$F32))*(DATE(YEAR(H$5),MONTH(H$5),MIN(DAY($F32),DAY(EOMONTH(H$5,0))))&lt;=H$6)*(MOD((YEAR(H$5)-YEAR($F32))*12+MONTH(H$5)-MONTH($F32),1)=0)+(MONTH(H$6)&lt;&gt;MONTH(H$5))*(DATE(YEAR(H$6),MONTH(H$6),MIN(DAY($F32),DAY(EOMONTH(H$6,0))))&gt;=$F32)*(DATE(YEAR(H$6),MONTH(H$6),MIN(DAY($F32),DAY(EOMONTH(H$6,0))))&gt;=H$5)*(DATE(YEAR(H$6),MONTH(H$6),MIN(DAY($F32),DAY(EOMONTH(H$6,0))))&lt;=H$6)*(MOD((YEAR(H$6)-YEAR($F32))*12+MONTH(H$6)-MONTH($F32),1)=0)),IF($D32="Quarterly",((DATE(YEAR(H$5),MONTH(H$5),MIN(DAY($F32),DAY(EOMONTH(H$5,0))))&gt;=MAX(H$5,$F32))*(DATE(YEAR(H$5),MONTH(H$5),MIN(DAY($F32),DAY(EOMONTH(H$5,0))))&lt;=H$6)*(MOD((YEAR(H$5)-YEAR($F32))*12+MONTH(H$5)-MONTH($F32),3)=0)+(MONTH(H$6)&lt;&gt;MONTH(H$5))*(DATE(YEAR(H$6),MONTH(H$6),MIN(DAY($F32),DAY(EOMONTH(H$6,0))))&gt;=$F32)*(DATE(YEAR(H$6),MONTH(H$6),MIN(DAY($F32),DAY(EOMONTH(H$6,0))))&gt;=H$5)*(DATE(YEAR(H$6),MONTH(H$6),MIN(DAY($F32),DAY(EOMONTH(H$6,0))))&lt;=H$6)*(MOD((YEAR(H$6)-YEAR($F32))*12+MONTH(H$6)-MONTH($F32),3)=0)),IF($D32="One-off",($F32&gt;=H$5)*($F32&lt;=H$6),0))))))</f>
        <v>0</v>
      </c>
      <c r="I32" s="19">
        <f>IF(OR($E32="",$F32="",$D32=""),0,IF(OR($C32="Loan and finance repayments",$C32="VAT and taxes",$C32="Capital expenditure",$C32="Licences and regulatory fees"),1,1+CostAdj)*$E32*IF($D32="Weekly",(MAX(0,INT((I$6-$F32)/7)+1)-MAX(0,INT((I$5-1-$F32)/7)+1)),IF($D32="Fortnightly",(MAX(0,INT((I$6-$F32)/14)+1)-MAX(0,INT((I$5-1-$F32)/14)+1)),IF($D32="Monthly",((DATE(YEAR(I$5),MONTH(I$5),MIN(DAY($F32),DAY(EOMONTH(I$5,0))))&gt;=MAX(I$5,$F32))*(DATE(YEAR(I$5),MONTH(I$5),MIN(DAY($F32),DAY(EOMONTH(I$5,0))))&lt;=I$6)*(MOD((YEAR(I$5)-YEAR($F32))*12+MONTH(I$5)-MONTH($F32),1)=0)+(MONTH(I$6)&lt;&gt;MONTH(I$5))*(DATE(YEAR(I$6),MONTH(I$6),MIN(DAY($F32),DAY(EOMONTH(I$6,0))))&gt;=$F32)*(DATE(YEAR(I$6),MONTH(I$6),MIN(DAY($F32),DAY(EOMONTH(I$6,0))))&gt;=I$5)*(DATE(YEAR(I$6),MONTH(I$6),MIN(DAY($F32),DAY(EOMONTH(I$6,0))))&lt;=I$6)*(MOD((YEAR(I$6)-YEAR($F32))*12+MONTH(I$6)-MONTH($F32),1)=0)),IF($D32="Quarterly",((DATE(YEAR(I$5),MONTH(I$5),MIN(DAY($F32),DAY(EOMONTH(I$5,0))))&gt;=MAX(I$5,$F32))*(DATE(YEAR(I$5),MONTH(I$5),MIN(DAY($F32),DAY(EOMONTH(I$5,0))))&lt;=I$6)*(MOD((YEAR(I$5)-YEAR($F32))*12+MONTH(I$5)-MONTH($F32),3)=0)+(MONTH(I$6)&lt;&gt;MONTH(I$5))*(DATE(YEAR(I$6),MONTH(I$6),MIN(DAY($F32),DAY(EOMONTH(I$6,0))))&gt;=$F32)*(DATE(YEAR(I$6),MONTH(I$6),MIN(DAY($F32),DAY(EOMONTH(I$6,0))))&gt;=I$5)*(DATE(YEAR(I$6),MONTH(I$6),MIN(DAY($F32),DAY(EOMONTH(I$6,0))))&lt;=I$6)*(MOD((YEAR(I$6)-YEAR($F32))*12+MONTH(I$6)-MONTH($F32),3)=0)),IF($D32="One-off",($F32&gt;=I$5)*($F32&lt;=I$6),0))))))</f>
        <v>0</v>
      </c>
      <c r="J32" s="19">
        <f>IF(OR($E32="",$F32="",$D32=""),0,IF(OR($C32="Loan and finance repayments",$C32="VAT and taxes",$C32="Capital expenditure",$C32="Licences and regulatory fees"),1,1+CostAdj)*$E32*IF($D32="Weekly",(MAX(0,INT((J$6-$F32)/7)+1)-MAX(0,INT((J$5-1-$F32)/7)+1)),IF($D32="Fortnightly",(MAX(0,INT((J$6-$F32)/14)+1)-MAX(0,INT((J$5-1-$F32)/14)+1)),IF($D32="Monthly",((DATE(YEAR(J$5),MONTH(J$5),MIN(DAY($F32),DAY(EOMONTH(J$5,0))))&gt;=MAX(J$5,$F32))*(DATE(YEAR(J$5),MONTH(J$5),MIN(DAY($F32),DAY(EOMONTH(J$5,0))))&lt;=J$6)*(MOD((YEAR(J$5)-YEAR($F32))*12+MONTH(J$5)-MONTH($F32),1)=0)+(MONTH(J$6)&lt;&gt;MONTH(J$5))*(DATE(YEAR(J$6),MONTH(J$6),MIN(DAY($F32),DAY(EOMONTH(J$6,0))))&gt;=$F32)*(DATE(YEAR(J$6),MONTH(J$6),MIN(DAY($F32),DAY(EOMONTH(J$6,0))))&gt;=J$5)*(DATE(YEAR(J$6),MONTH(J$6),MIN(DAY($F32),DAY(EOMONTH(J$6,0))))&lt;=J$6)*(MOD((YEAR(J$6)-YEAR($F32))*12+MONTH(J$6)-MONTH($F32),1)=0)),IF($D32="Quarterly",((DATE(YEAR(J$5),MONTH(J$5),MIN(DAY($F32),DAY(EOMONTH(J$5,0))))&gt;=MAX(J$5,$F32))*(DATE(YEAR(J$5),MONTH(J$5),MIN(DAY($F32),DAY(EOMONTH(J$5,0))))&lt;=J$6)*(MOD((YEAR(J$5)-YEAR($F32))*12+MONTH(J$5)-MONTH($F32),3)=0)+(MONTH(J$6)&lt;&gt;MONTH(J$5))*(DATE(YEAR(J$6),MONTH(J$6),MIN(DAY($F32),DAY(EOMONTH(J$6,0))))&gt;=$F32)*(DATE(YEAR(J$6),MONTH(J$6),MIN(DAY($F32),DAY(EOMONTH(J$6,0))))&gt;=J$5)*(DATE(YEAR(J$6),MONTH(J$6),MIN(DAY($F32),DAY(EOMONTH(J$6,0))))&lt;=J$6)*(MOD((YEAR(J$6)-YEAR($F32))*12+MONTH(J$6)-MONTH($F32),3)=0)),IF($D32="One-off",($F32&gt;=J$5)*($F32&lt;=J$6),0))))))</f>
        <v>0</v>
      </c>
      <c r="K32" s="19">
        <f>IF(OR($E32="",$F32="",$D32=""),0,IF(OR($C32="Loan and finance repayments",$C32="VAT and taxes",$C32="Capital expenditure",$C32="Licences and regulatory fees"),1,1+CostAdj)*$E32*IF($D32="Weekly",(MAX(0,INT((K$6-$F32)/7)+1)-MAX(0,INT((K$5-1-$F32)/7)+1)),IF($D32="Fortnightly",(MAX(0,INT((K$6-$F32)/14)+1)-MAX(0,INT((K$5-1-$F32)/14)+1)),IF($D32="Monthly",((DATE(YEAR(K$5),MONTH(K$5),MIN(DAY($F32),DAY(EOMONTH(K$5,0))))&gt;=MAX(K$5,$F32))*(DATE(YEAR(K$5),MONTH(K$5),MIN(DAY($F32),DAY(EOMONTH(K$5,0))))&lt;=K$6)*(MOD((YEAR(K$5)-YEAR($F32))*12+MONTH(K$5)-MONTH($F32),1)=0)+(MONTH(K$6)&lt;&gt;MONTH(K$5))*(DATE(YEAR(K$6),MONTH(K$6),MIN(DAY($F32),DAY(EOMONTH(K$6,0))))&gt;=$F32)*(DATE(YEAR(K$6),MONTH(K$6),MIN(DAY($F32),DAY(EOMONTH(K$6,0))))&gt;=K$5)*(DATE(YEAR(K$6),MONTH(K$6),MIN(DAY($F32),DAY(EOMONTH(K$6,0))))&lt;=K$6)*(MOD((YEAR(K$6)-YEAR($F32))*12+MONTH(K$6)-MONTH($F32),1)=0)),IF($D32="Quarterly",((DATE(YEAR(K$5),MONTH(K$5),MIN(DAY($F32),DAY(EOMONTH(K$5,0))))&gt;=MAX(K$5,$F32))*(DATE(YEAR(K$5),MONTH(K$5),MIN(DAY($F32),DAY(EOMONTH(K$5,0))))&lt;=K$6)*(MOD((YEAR(K$5)-YEAR($F32))*12+MONTH(K$5)-MONTH($F32),3)=0)+(MONTH(K$6)&lt;&gt;MONTH(K$5))*(DATE(YEAR(K$6),MONTH(K$6),MIN(DAY($F32),DAY(EOMONTH(K$6,0))))&gt;=$F32)*(DATE(YEAR(K$6),MONTH(K$6),MIN(DAY($F32),DAY(EOMONTH(K$6,0))))&gt;=K$5)*(DATE(YEAR(K$6),MONTH(K$6),MIN(DAY($F32),DAY(EOMONTH(K$6,0))))&lt;=K$6)*(MOD((YEAR(K$6)-YEAR($F32))*12+MONTH(K$6)-MONTH($F32),3)=0)),IF($D32="One-off",($F32&gt;=K$5)*($F32&lt;=K$6),0))))))</f>
        <v>0</v>
      </c>
      <c r="L32" s="19">
        <f>IF(OR($E32="",$F32="",$D32=""),0,IF(OR($C32="Loan and finance repayments",$C32="VAT and taxes",$C32="Capital expenditure",$C32="Licences and regulatory fees"),1,1+CostAdj)*$E32*IF($D32="Weekly",(MAX(0,INT((L$6-$F32)/7)+1)-MAX(0,INT((L$5-1-$F32)/7)+1)),IF($D32="Fortnightly",(MAX(0,INT((L$6-$F32)/14)+1)-MAX(0,INT((L$5-1-$F32)/14)+1)),IF($D32="Monthly",((DATE(YEAR(L$5),MONTH(L$5),MIN(DAY($F32),DAY(EOMONTH(L$5,0))))&gt;=MAX(L$5,$F32))*(DATE(YEAR(L$5),MONTH(L$5),MIN(DAY($F32),DAY(EOMONTH(L$5,0))))&lt;=L$6)*(MOD((YEAR(L$5)-YEAR($F32))*12+MONTH(L$5)-MONTH($F32),1)=0)+(MONTH(L$6)&lt;&gt;MONTH(L$5))*(DATE(YEAR(L$6),MONTH(L$6),MIN(DAY($F32),DAY(EOMONTH(L$6,0))))&gt;=$F32)*(DATE(YEAR(L$6),MONTH(L$6),MIN(DAY($F32),DAY(EOMONTH(L$6,0))))&gt;=L$5)*(DATE(YEAR(L$6),MONTH(L$6),MIN(DAY($F32),DAY(EOMONTH(L$6,0))))&lt;=L$6)*(MOD((YEAR(L$6)-YEAR($F32))*12+MONTH(L$6)-MONTH($F32),1)=0)),IF($D32="Quarterly",((DATE(YEAR(L$5),MONTH(L$5),MIN(DAY($F32),DAY(EOMONTH(L$5,0))))&gt;=MAX(L$5,$F32))*(DATE(YEAR(L$5),MONTH(L$5),MIN(DAY($F32),DAY(EOMONTH(L$5,0))))&lt;=L$6)*(MOD((YEAR(L$5)-YEAR($F32))*12+MONTH(L$5)-MONTH($F32),3)=0)+(MONTH(L$6)&lt;&gt;MONTH(L$5))*(DATE(YEAR(L$6),MONTH(L$6),MIN(DAY($F32),DAY(EOMONTH(L$6,0))))&gt;=$F32)*(DATE(YEAR(L$6),MONTH(L$6),MIN(DAY($F32),DAY(EOMONTH(L$6,0))))&gt;=L$5)*(DATE(YEAR(L$6),MONTH(L$6),MIN(DAY($F32),DAY(EOMONTH(L$6,0))))&lt;=L$6)*(MOD((YEAR(L$6)-YEAR($F32))*12+MONTH(L$6)-MONTH($F32),3)=0)),IF($D32="One-off",($F32&gt;=L$5)*($F32&lt;=L$6),0))))))</f>
        <v>0</v>
      </c>
      <c r="M32" s="19">
        <f>IF(OR($E32="",$F32="",$D32=""),0,IF(OR($C32="Loan and finance repayments",$C32="VAT and taxes",$C32="Capital expenditure",$C32="Licences and regulatory fees"),1,1+CostAdj)*$E32*IF($D32="Weekly",(MAX(0,INT((M$6-$F32)/7)+1)-MAX(0,INT((M$5-1-$F32)/7)+1)),IF($D32="Fortnightly",(MAX(0,INT((M$6-$F32)/14)+1)-MAX(0,INT((M$5-1-$F32)/14)+1)),IF($D32="Monthly",((DATE(YEAR(M$5),MONTH(M$5),MIN(DAY($F32),DAY(EOMONTH(M$5,0))))&gt;=MAX(M$5,$F32))*(DATE(YEAR(M$5),MONTH(M$5),MIN(DAY($F32),DAY(EOMONTH(M$5,0))))&lt;=M$6)*(MOD((YEAR(M$5)-YEAR($F32))*12+MONTH(M$5)-MONTH($F32),1)=0)+(MONTH(M$6)&lt;&gt;MONTH(M$5))*(DATE(YEAR(M$6),MONTH(M$6),MIN(DAY($F32),DAY(EOMONTH(M$6,0))))&gt;=$F32)*(DATE(YEAR(M$6),MONTH(M$6),MIN(DAY($F32),DAY(EOMONTH(M$6,0))))&gt;=M$5)*(DATE(YEAR(M$6),MONTH(M$6),MIN(DAY($F32),DAY(EOMONTH(M$6,0))))&lt;=M$6)*(MOD((YEAR(M$6)-YEAR($F32))*12+MONTH(M$6)-MONTH($F32),1)=0)),IF($D32="Quarterly",((DATE(YEAR(M$5),MONTH(M$5),MIN(DAY($F32),DAY(EOMONTH(M$5,0))))&gt;=MAX(M$5,$F32))*(DATE(YEAR(M$5),MONTH(M$5),MIN(DAY($F32),DAY(EOMONTH(M$5,0))))&lt;=M$6)*(MOD((YEAR(M$5)-YEAR($F32))*12+MONTH(M$5)-MONTH($F32),3)=0)+(MONTH(M$6)&lt;&gt;MONTH(M$5))*(DATE(YEAR(M$6),MONTH(M$6),MIN(DAY($F32),DAY(EOMONTH(M$6,0))))&gt;=$F32)*(DATE(YEAR(M$6),MONTH(M$6),MIN(DAY($F32),DAY(EOMONTH(M$6,0))))&gt;=M$5)*(DATE(YEAR(M$6),MONTH(M$6),MIN(DAY($F32),DAY(EOMONTH(M$6,0))))&lt;=M$6)*(MOD((YEAR(M$6)-YEAR($F32))*12+MONTH(M$6)-MONTH($F32),3)=0)),IF($D32="One-off",($F32&gt;=M$5)*($F32&lt;=M$6),0))))))</f>
        <v>0</v>
      </c>
      <c r="N32" s="19">
        <f>IF(OR($E32="",$F32="",$D32=""),0,IF(OR($C32="Loan and finance repayments",$C32="VAT and taxes",$C32="Capital expenditure",$C32="Licences and regulatory fees"),1,1+CostAdj)*$E32*IF($D32="Weekly",(MAX(0,INT((N$6-$F32)/7)+1)-MAX(0,INT((N$5-1-$F32)/7)+1)),IF($D32="Fortnightly",(MAX(0,INT((N$6-$F32)/14)+1)-MAX(0,INT((N$5-1-$F32)/14)+1)),IF($D32="Monthly",((DATE(YEAR(N$5),MONTH(N$5),MIN(DAY($F32),DAY(EOMONTH(N$5,0))))&gt;=MAX(N$5,$F32))*(DATE(YEAR(N$5),MONTH(N$5),MIN(DAY($F32),DAY(EOMONTH(N$5,0))))&lt;=N$6)*(MOD((YEAR(N$5)-YEAR($F32))*12+MONTH(N$5)-MONTH($F32),1)=0)+(MONTH(N$6)&lt;&gt;MONTH(N$5))*(DATE(YEAR(N$6),MONTH(N$6),MIN(DAY($F32),DAY(EOMONTH(N$6,0))))&gt;=$F32)*(DATE(YEAR(N$6),MONTH(N$6),MIN(DAY($F32),DAY(EOMONTH(N$6,0))))&gt;=N$5)*(DATE(YEAR(N$6),MONTH(N$6),MIN(DAY($F32),DAY(EOMONTH(N$6,0))))&lt;=N$6)*(MOD((YEAR(N$6)-YEAR($F32))*12+MONTH(N$6)-MONTH($F32),1)=0)),IF($D32="Quarterly",((DATE(YEAR(N$5),MONTH(N$5),MIN(DAY($F32),DAY(EOMONTH(N$5,0))))&gt;=MAX(N$5,$F32))*(DATE(YEAR(N$5),MONTH(N$5),MIN(DAY($F32),DAY(EOMONTH(N$5,0))))&lt;=N$6)*(MOD((YEAR(N$5)-YEAR($F32))*12+MONTH(N$5)-MONTH($F32),3)=0)+(MONTH(N$6)&lt;&gt;MONTH(N$5))*(DATE(YEAR(N$6),MONTH(N$6),MIN(DAY($F32),DAY(EOMONTH(N$6,0))))&gt;=$F32)*(DATE(YEAR(N$6),MONTH(N$6),MIN(DAY($F32),DAY(EOMONTH(N$6,0))))&gt;=N$5)*(DATE(YEAR(N$6),MONTH(N$6),MIN(DAY($F32),DAY(EOMONTH(N$6,0))))&lt;=N$6)*(MOD((YEAR(N$6)-YEAR($F32))*12+MONTH(N$6)-MONTH($F32),3)=0)),IF($D32="One-off",($F32&gt;=N$5)*($F32&lt;=N$6),0))))))</f>
        <v>0</v>
      </c>
      <c r="O32" s="19">
        <f>IF(OR($E32="",$F32="",$D32=""),0,IF(OR($C32="Loan and finance repayments",$C32="VAT and taxes",$C32="Capital expenditure",$C32="Licences and regulatory fees"),1,1+CostAdj)*$E32*IF($D32="Weekly",(MAX(0,INT((O$6-$F32)/7)+1)-MAX(0,INT((O$5-1-$F32)/7)+1)),IF($D32="Fortnightly",(MAX(0,INT((O$6-$F32)/14)+1)-MAX(0,INT((O$5-1-$F32)/14)+1)),IF($D32="Monthly",((DATE(YEAR(O$5),MONTH(O$5),MIN(DAY($F32),DAY(EOMONTH(O$5,0))))&gt;=MAX(O$5,$F32))*(DATE(YEAR(O$5),MONTH(O$5),MIN(DAY($F32),DAY(EOMONTH(O$5,0))))&lt;=O$6)*(MOD((YEAR(O$5)-YEAR($F32))*12+MONTH(O$5)-MONTH($F32),1)=0)+(MONTH(O$6)&lt;&gt;MONTH(O$5))*(DATE(YEAR(O$6),MONTH(O$6),MIN(DAY($F32),DAY(EOMONTH(O$6,0))))&gt;=$F32)*(DATE(YEAR(O$6),MONTH(O$6),MIN(DAY($F32),DAY(EOMONTH(O$6,0))))&gt;=O$5)*(DATE(YEAR(O$6),MONTH(O$6),MIN(DAY($F32),DAY(EOMONTH(O$6,0))))&lt;=O$6)*(MOD((YEAR(O$6)-YEAR($F32))*12+MONTH(O$6)-MONTH($F32),1)=0)),IF($D32="Quarterly",((DATE(YEAR(O$5),MONTH(O$5),MIN(DAY($F32),DAY(EOMONTH(O$5,0))))&gt;=MAX(O$5,$F32))*(DATE(YEAR(O$5),MONTH(O$5),MIN(DAY($F32),DAY(EOMONTH(O$5,0))))&lt;=O$6)*(MOD((YEAR(O$5)-YEAR($F32))*12+MONTH(O$5)-MONTH($F32),3)=0)+(MONTH(O$6)&lt;&gt;MONTH(O$5))*(DATE(YEAR(O$6),MONTH(O$6),MIN(DAY($F32),DAY(EOMONTH(O$6,0))))&gt;=$F32)*(DATE(YEAR(O$6),MONTH(O$6),MIN(DAY($F32),DAY(EOMONTH(O$6,0))))&gt;=O$5)*(DATE(YEAR(O$6),MONTH(O$6),MIN(DAY($F32),DAY(EOMONTH(O$6,0))))&lt;=O$6)*(MOD((YEAR(O$6)-YEAR($F32))*12+MONTH(O$6)-MONTH($F32),3)=0)),IF($D32="One-off",($F32&gt;=O$5)*($F32&lt;=O$6),0))))))</f>
        <v>0</v>
      </c>
      <c r="P32" s="19">
        <f>IF(OR($E32="",$F32="",$D32=""),0,IF(OR($C32="Loan and finance repayments",$C32="VAT and taxes",$C32="Capital expenditure",$C32="Licences and regulatory fees"),1,1+CostAdj)*$E32*IF($D32="Weekly",(MAX(0,INT((P$6-$F32)/7)+1)-MAX(0,INT((P$5-1-$F32)/7)+1)),IF($D32="Fortnightly",(MAX(0,INT((P$6-$F32)/14)+1)-MAX(0,INT((P$5-1-$F32)/14)+1)),IF($D32="Monthly",((DATE(YEAR(P$5),MONTH(P$5),MIN(DAY($F32),DAY(EOMONTH(P$5,0))))&gt;=MAX(P$5,$F32))*(DATE(YEAR(P$5),MONTH(P$5),MIN(DAY($F32),DAY(EOMONTH(P$5,0))))&lt;=P$6)*(MOD((YEAR(P$5)-YEAR($F32))*12+MONTH(P$5)-MONTH($F32),1)=0)+(MONTH(P$6)&lt;&gt;MONTH(P$5))*(DATE(YEAR(P$6),MONTH(P$6),MIN(DAY($F32),DAY(EOMONTH(P$6,0))))&gt;=$F32)*(DATE(YEAR(P$6),MONTH(P$6),MIN(DAY($F32),DAY(EOMONTH(P$6,0))))&gt;=P$5)*(DATE(YEAR(P$6),MONTH(P$6),MIN(DAY($F32),DAY(EOMONTH(P$6,0))))&lt;=P$6)*(MOD((YEAR(P$6)-YEAR($F32))*12+MONTH(P$6)-MONTH($F32),1)=0)),IF($D32="Quarterly",((DATE(YEAR(P$5),MONTH(P$5),MIN(DAY($F32),DAY(EOMONTH(P$5,0))))&gt;=MAX(P$5,$F32))*(DATE(YEAR(P$5),MONTH(P$5),MIN(DAY($F32),DAY(EOMONTH(P$5,0))))&lt;=P$6)*(MOD((YEAR(P$5)-YEAR($F32))*12+MONTH(P$5)-MONTH($F32),3)=0)+(MONTH(P$6)&lt;&gt;MONTH(P$5))*(DATE(YEAR(P$6),MONTH(P$6),MIN(DAY($F32),DAY(EOMONTH(P$6,0))))&gt;=$F32)*(DATE(YEAR(P$6),MONTH(P$6),MIN(DAY($F32),DAY(EOMONTH(P$6,0))))&gt;=P$5)*(DATE(YEAR(P$6),MONTH(P$6),MIN(DAY($F32),DAY(EOMONTH(P$6,0))))&lt;=P$6)*(MOD((YEAR(P$6)-YEAR($F32))*12+MONTH(P$6)-MONTH($F32),3)=0)),IF($D32="One-off",($F32&gt;=P$5)*($F32&lt;=P$6),0))))))</f>
        <v>0</v>
      </c>
      <c r="Q32" s="19">
        <f>IF(OR($E32="",$F32="",$D32=""),0,IF(OR($C32="Loan and finance repayments",$C32="VAT and taxes",$C32="Capital expenditure",$C32="Licences and regulatory fees"),1,1+CostAdj)*$E32*IF($D32="Weekly",(MAX(0,INT((Q$6-$F32)/7)+1)-MAX(0,INT((Q$5-1-$F32)/7)+1)),IF($D32="Fortnightly",(MAX(0,INT((Q$6-$F32)/14)+1)-MAX(0,INT((Q$5-1-$F32)/14)+1)),IF($D32="Monthly",((DATE(YEAR(Q$5),MONTH(Q$5),MIN(DAY($F32),DAY(EOMONTH(Q$5,0))))&gt;=MAX(Q$5,$F32))*(DATE(YEAR(Q$5),MONTH(Q$5),MIN(DAY($F32),DAY(EOMONTH(Q$5,0))))&lt;=Q$6)*(MOD((YEAR(Q$5)-YEAR($F32))*12+MONTH(Q$5)-MONTH($F32),1)=0)+(MONTH(Q$6)&lt;&gt;MONTH(Q$5))*(DATE(YEAR(Q$6),MONTH(Q$6),MIN(DAY($F32),DAY(EOMONTH(Q$6,0))))&gt;=$F32)*(DATE(YEAR(Q$6),MONTH(Q$6),MIN(DAY($F32),DAY(EOMONTH(Q$6,0))))&gt;=Q$5)*(DATE(YEAR(Q$6),MONTH(Q$6),MIN(DAY($F32),DAY(EOMONTH(Q$6,0))))&lt;=Q$6)*(MOD((YEAR(Q$6)-YEAR($F32))*12+MONTH(Q$6)-MONTH($F32),1)=0)),IF($D32="Quarterly",((DATE(YEAR(Q$5),MONTH(Q$5),MIN(DAY($F32),DAY(EOMONTH(Q$5,0))))&gt;=MAX(Q$5,$F32))*(DATE(YEAR(Q$5),MONTH(Q$5),MIN(DAY($F32),DAY(EOMONTH(Q$5,0))))&lt;=Q$6)*(MOD((YEAR(Q$5)-YEAR($F32))*12+MONTH(Q$5)-MONTH($F32),3)=0)+(MONTH(Q$6)&lt;&gt;MONTH(Q$5))*(DATE(YEAR(Q$6),MONTH(Q$6),MIN(DAY($F32),DAY(EOMONTH(Q$6,0))))&gt;=$F32)*(DATE(YEAR(Q$6),MONTH(Q$6),MIN(DAY($F32),DAY(EOMONTH(Q$6,0))))&gt;=Q$5)*(DATE(YEAR(Q$6),MONTH(Q$6),MIN(DAY($F32),DAY(EOMONTH(Q$6,0))))&lt;=Q$6)*(MOD((YEAR(Q$6)-YEAR($F32))*12+MONTH(Q$6)-MONTH($F32),3)=0)),IF($D32="One-off",($F32&gt;=Q$5)*($F32&lt;=Q$6),0))))))</f>
        <v>0</v>
      </c>
      <c r="R32" s="19">
        <f>IF(OR($E32="",$F32="",$D32=""),0,IF(OR($C32="Loan and finance repayments",$C32="VAT and taxes",$C32="Capital expenditure",$C32="Licences and regulatory fees"),1,1+CostAdj)*$E32*IF($D32="Weekly",(MAX(0,INT((R$6-$F32)/7)+1)-MAX(0,INT((R$5-1-$F32)/7)+1)),IF($D32="Fortnightly",(MAX(0,INT((R$6-$F32)/14)+1)-MAX(0,INT((R$5-1-$F32)/14)+1)),IF($D32="Monthly",((DATE(YEAR(R$5),MONTH(R$5),MIN(DAY($F32),DAY(EOMONTH(R$5,0))))&gt;=MAX(R$5,$F32))*(DATE(YEAR(R$5),MONTH(R$5),MIN(DAY($F32),DAY(EOMONTH(R$5,0))))&lt;=R$6)*(MOD((YEAR(R$5)-YEAR($F32))*12+MONTH(R$5)-MONTH($F32),1)=0)+(MONTH(R$6)&lt;&gt;MONTH(R$5))*(DATE(YEAR(R$6),MONTH(R$6),MIN(DAY($F32),DAY(EOMONTH(R$6,0))))&gt;=$F32)*(DATE(YEAR(R$6),MONTH(R$6),MIN(DAY($F32),DAY(EOMONTH(R$6,0))))&gt;=R$5)*(DATE(YEAR(R$6),MONTH(R$6),MIN(DAY($F32),DAY(EOMONTH(R$6,0))))&lt;=R$6)*(MOD((YEAR(R$6)-YEAR($F32))*12+MONTH(R$6)-MONTH($F32),1)=0)),IF($D32="Quarterly",((DATE(YEAR(R$5),MONTH(R$5),MIN(DAY($F32),DAY(EOMONTH(R$5,0))))&gt;=MAX(R$5,$F32))*(DATE(YEAR(R$5),MONTH(R$5),MIN(DAY($F32),DAY(EOMONTH(R$5,0))))&lt;=R$6)*(MOD((YEAR(R$5)-YEAR($F32))*12+MONTH(R$5)-MONTH($F32),3)=0)+(MONTH(R$6)&lt;&gt;MONTH(R$5))*(DATE(YEAR(R$6),MONTH(R$6),MIN(DAY($F32),DAY(EOMONTH(R$6,0))))&gt;=$F32)*(DATE(YEAR(R$6),MONTH(R$6),MIN(DAY($F32),DAY(EOMONTH(R$6,0))))&gt;=R$5)*(DATE(YEAR(R$6),MONTH(R$6),MIN(DAY($F32),DAY(EOMONTH(R$6,0))))&lt;=R$6)*(MOD((YEAR(R$6)-YEAR($F32))*12+MONTH(R$6)-MONTH($F32),3)=0)),IF($D32="One-off",($F32&gt;=R$5)*($F32&lt;=R$6),0))))))</f>
        <v>0</v>
      </c>
      <c r="S32" s="19">
        <f>IF(OR($E32="",$F32="",$D32=""),0,IF(OR($C32="Loan and finance repayments",$C32="VAT and taxes",$C32="Capital expenditure",$C32="Licences and regulatory fees"),1,1+CostAdj)*$E32*IF($D32="Weekly",(MAX(0,INT((S$6-$F32)/7)+1)-MAX(0,INT((S$5-1-$F32)/7)+1)),IF($D32="Fortnightly",(MAX(0,INT((S$6-$F32)/14)+1)-MAX(0,INT((S$5-1-$F32)/14)+1)),IF($D32="Monthly",((DATE(YEAR(S$5),MONTH(S$5),MIN(DAY($F32),DAY(EOMONTH(S$5,0))))&gt;=MAX(S$5,$F32))*(DATE(YEAR(S$5),MONTH(S$5),MIN(DAY($F32),DAY(EOMONTH(S$5,0))))&lt;=S$6)*(MOD((YEAR(S$5)-YEAR($F32))*12+MONTH(S$5)-MONTH($F32),1)=0)+(MONTH(S$6)&lt;&gt;MONTH(S$5))*(DATE(YEAR(S$6),MONTH(S$6),MIN(DAY($F32),DAY(EOMONTH(S$6,0))))&gt;=$F32)*(DATE(YEAR(S$6),MONTH(S$6),MIN(DAY($F32),DAY(EOMONTH(S$6,0))))&gt;=S$5)*(DATE(YEAR(S$6),MONTH(S$6),MIN(DAY($F32),DAY(EOMONTH(S$6,0))))&lt;=S$6)*(MOD((YEAR(S$6)-YEAR($F32))*12+MONTH(S$6)-MONTH($F32),1)=0)),IF($D32="Quarterly",((DATE(YEAR(S$5),MONTH(S$5),MIN(DAY($F32),DAY(EOMONTH(S$5,0))))&gt;=MAX(S$5,$F32))*(DATE(YEAR(S$5),MONTH(S$5),MIN(DAY($F32),DAY(EOMONTH(S$5,0))))&lt;=S$6)*(MOD((YEAR(S$5)-YEAR($F32))*12+MONTH(S$5)-MONTH($F32),3)=0)+(MONTH(S$6)&lt;&gt;MONTH(S$5))*(DATE(YEAR(S$6),MONTH(S$6),MIN(DAY($F32),DAY(EOMONTH(S$6,0))))&gt;=$F32)*(DATE(YEAR(S$6),MONTH(S$6),MIN(DAY($F32),DAY(EOMONTH(S$6,0))))&gt;=S$5)*(DATE(YEAR(S$6),MONTH(S$6),MIN(DAY($F32),DAY(EOMONTH(S$6,0))))&lt;=S$6)*(MOD((YEAR(S$6)-YEAR($F32))*12+MONTH(S$6)-MONTH($F32),3)=0)),IF($D32="One-off",($F32&gt;=S$5)*($F32&lt;=S$6),0))))))</f>
        <v>0</v>
      </c>
      <c r="T32" s="19">
        <f>IF(OR($E32="",$F32="",$D32=""),0,IF(OR($C32="Loan and finance repayments",$C32="VAT and taxes",$C32="Capital expenditure",$C32="Licences and regulatory fees"),1,1+CostAdj)*$E32*IF($D32="Weekly",(MAX(0,INT((T$6-$F32)/7)+1)-MAX(0,INT((T$5-1-$F32)/7)+1)),IF($D32="Fortnightly",(MAX(0,INT((T$6-$F32)/14)+1)-MAX(0,INT((T$5-1-$F32)/14)+1)),IF($D32="Monthly",((DATE(YEAR(T$5),MONTH(T$5),MIN(DAY($F32),DAY(EOMONTH(T$5,0))))&gt;=MAX(T$5,$F32))*(DATE(YEAR(T$5),MONTH(T$5),MIN(DAY($F32),DAY(EOMONTH(T$5,0))))&lt;=T$6)*(MOD((YEAR(T$5)-YEAR($F32))*12+MONTH(T$5)-MONTH($F32),1)=0)+(MONTH(T$6)&lt;&gt;MONTH(T$5))*(DATE(YEAR(T$6),MONTH(T$6),MIN(DAY($F32),DAY(EOMONTH(T$6,0))))&gt;=$F32)*(DATE(YEAR(T$6),MONTH(T$6),MIN(DAY($F32),DAY(EOMONTH(T$6,0))))&gt;=T$5)*(DATE(YEAR(T$6),MONTH(T$6),MIN(DAY($F32),DAY(EOMONTH(T$6,0))))&lt;=T$6)*(MOD((YEAR(T$6)-YEAR($F32))*12+MONTH(T$6)-MONTH($F32),1)=0)),IF($D32="Quarterly",((DATE(YEAR(T$5),MONTH(T$5),MIN(DAY($F32),DAY(EOMONTH(T$5,0))))&gt;=MAX(T$5,$F32))*(DATE(YEAR(T$5),MONTH(T$5),MIN(DAY($F32),DAY(EOMONTH(T$5,0))))&lt;=T$6)*(MOD((YEAR(T$5)-YEAR($F32))*12+MONTH(T$5)-MONTH($F32),3)=0)+(MONTH(T$6)&lt;&gt;MONTH(T$5))*(DATE(YEAR(T$6),MONTH(T$6),MIN(DAY($F32),DAY(EOMONTH(T$6,0))))&gt;=$F32)*(DATE(YEAR(T$6),MONTH(T$6),MIN(DAY($F32),DAY(EOMONTH(T$6,0))))&gt;=T$5)*(DATE(YEAR(T$6),MONTH(T$6),MIN(DAY($F32),DAY(EOMONTH(T$6,0))))&lt;=T$6)*(MOD((YEAR(T$6)-YEAR($F32))*12+MONTH(T$6)-MONTH($F32),3)=0)),IF($D32="One-off",($F32&gt;=T$5)*($F32&lt;=T$6),0))))))</f>
        <v>0</v>
      </c>
      <c r="U32" s="36">
        <f>SUM(H32:T32)</f>
        <v>0</v>
      </c>
    </row>
    <row r="33" spans="1:21">
      <c r="A33" s="42">
        <v>25</v>
      </c>
      <c r="B33" s="7"/>
      <c r="C33" s="7"/>
      <c r="D33" s="7"/>
      <c r="E33" s="18"/>
      <c r="F33" s="17"/>
      <c r="G33" s="7"/>
      <c r="H33" s="19">
        <f>IF(OR($E33="",$F33="",$D33=""),0,IF(OR($C33="Loan and finance repayments",$C33="VAT and taxes",$C33="Capital expenditure",$C33="Licences and regulatory fees"),1,1+CostAdj)*$E33*IF($D33="Weekly",(MAX(0,INT((H$6-$F33)/7)+1)-MAX(0,INT((H$5-1-$F33)/7)+1)),IF($D33="Fortnightly",(MAX(0,INT((H$6-$F33)/14)+1)-MAX(0,INT((H$5-1-$F33)/14)+1)),IF($D33="Monthly",((DATE(YEAR(H$5),MONTH(H$5),MIN(DAY($F33),DAY(EOMONTH(H$5,0))))&gt;=MAX(H$5,$F33))*(DATE(YEAR(H$5),MONTH(H$5),MIN(DAY($F33),DAY(EOMONTH(H$5,0))))&lt;=H$6)*(MOD((YEAR(H$5)-YEAR($F33))*12+MONTH(H$5)-MONTH($F33),1)=0)+(MONTH(H$6)&lt;&gt;MONTH(H$5))*(DATE(YEAR(H$6),MONTH(H$6),MIN(DAY($F33),DAY(EOMONTH(H$6,0))))&gt;=$F33)*(DATE(YEAR(H$6),MONTH(H$6),MIN(DAY($F33),DAY(EOMONTH(H$6,0))))&gt;=H$5)*(DATE(YEAR(H$6),MONTH(H$6),MIN(DAY($F33),DAY(EOMONTH(H$6,0))))&lt;=H$6)*(MOD((YEAR(H$6)-YEAR($F33))*12+MONTH(H$6)-MONTH($F33),1)=0)),IF($D33="Quarterly",((DATE(YEAR(H$5),MONTH(H$5),MIN(DAY($F33),DAY(EOMONTH(H$5,0))))&gt;=MAX(H$5,$F33))*(DATE(YEAR(H$5),MONTH(H$5),MIN(DAY($F33),DAY(EOMONTH(H$5,0))))&lt;=H$6)*(MOD((YEAR(H$5)-YEAR($F33))*12+MONTH(H$5)-MONTH($F33),3)=0)+(MONTH(H$6)&lt;&gt;MONTH(H$5))*(DATE(YEAR(H$6),MONTH(H$6),MIN(DAY($F33),DAY(EOMONTH(H$6,0))))&gt;=$F33)*(DATE(YEAR(H$6),MONTH(H$6),MIN(DAY($F33),DAY(EOMONTH(H$6,0))))&gt;=H$5)*(DATE(YEAR(H$6),MONTH(H$6),MIN(DAY($F33),DAY(EOMONTH(H$6,0))))&lt;=H$6)*(MOD((YEAR(H$6)-YEAR($F33))*12+MONTH(H$6)-MONTH($F33),3)=0)),IF($D33="One-off",($F33&gt;=H$5)*($F33&lt;=H$6),0))))))</f>
        <v>0</v>
      </c>
      <c r="I33" s="19">
        <f>IF(OR($E33="",$F33="",$D33=""),0,IF(OR($C33="Loan and finance repayments",$C33="VAT and taxes",$C33="Capital expenditure",$C33="Licences and regulatory fees"),1,1+CostAdj)*$E33*IF($D33="Weekly",(MAX(0,INT((I$6-$F33)/7)+1)-MAX(0,INT((I$5-1-$F33)/7)+1)),IF($D33="Fortnightly",(MAX(0,INT((I$6-$F33)/14)+1)-MAX(0,INT((I$5-1-$F33)/14)+1)),IF($D33="Monthly",((DATE(YEAR(I$5),MONTH(I$5),MIN(DAY($F33),DAY(EOMONTH(I$5,0))))&gt;=MAX(I$5,$F33))*(DATE(YEAR(I$5),MONTH(I$5),MIN(DAY($F33),DAY(EOMONTH(I$5,0))))&lt;=I$6)*(MOD((YEAR(I$5)-YEAR($F33))*12+MONTH(I$5)-MONTH($F33),1)=0)+(MONTH(I$6)&lt;&gt;MONTH(I$5))*(DATE(YEAR(I$6),MONTH(I$6),MIN(DAY($F33),DAY(EOMONTH(I$6,0))))&gt;=$F33)*(DATE(YEAR(I$6),MONTH(I$6),MIN(DAY($F33),DAY(EOMONTH(I$6,0))))&gt;=I$5)*(DATE(YEAR(I$6),MONTH(I$6),MIN(DAY($F33),DAY(EOMONTH(I$6,0))))&lt;=I$6)*(MOD((YEAR(I$6)-YEAR($F33))*12+MONTH(I$6)-MONTH($F33),1)=0)),IF($D33="Quarterly",((DATE(YEAR(I$5),MONTH(I$5),MIN(DAY($F33),DAY(EOMONTH(I$5,0))))&gt;=MAX(I$5,$F33))*(DATE(YEAR(I$5),MONTH(I$5),MIN(DAY($F33),DAY(EOMONTH(I$5,0))))&lt;=I$6)*(MOD((YEAR(I$5)-YEAR($F33))*12+MONTH(I$5)-MONTH($F33),3)=0)+(MONTH(I$6)&lt;&gt;MONTH(I$5))*(DATE(YEAR(I$6),MONTH(I$6),MIN(DAY($F33),DAY(EOMONTH(I$6,0))))&gt;=$F33)*(DATE(YEAR(I$6),MONTH(I$6),MIN(DAY($F33),DAY(EOMONTH(I$6,0))))&gt;=I$5)*(DATE(YEAR(I$6),MONTH(I$6),MIN(DAY($F33),DAY(EOMONTH(I$6,0))))&lt;=I$6)*(MOD((YEAR(I$6)-YEAR($F33))*12+MONTH(I$6)-MONTH($F33),3)=0)),IF($D33="One-off",($F33&gt;=I$5)*($F33&lt;=I$6),0))))))</f>
        <v>0</v>
      </c>
      <c r="J33" s="19">
        <f>IF(OR($E33="",$F33="",$D33=""),0,IF(OR($C33="Loan and finance repayments",$C33="VAT and taxes",$C33="Capital expenditure",$C33="Licences and regulatory fees"),1,1+CostAdj)*$E33*IF($D33="Weekly",(MAX(0,INT((J$6-$F33)/7)+1)-MAX(0,INT((J$5-1-$F33)/7)+1)),IF($D33="Fortnightly",(MAX(0,INT((J$6-$F33)/14)+1)-MAX(0,INT((J$5-1-$F33)/14)+1)),IF($D33="Monthly",((DATE(YEAR(J$5),MONTH(J$5),MIN(DAY($F33),DAY(EOMONTH(J$5,0))))&gt;=MAX(J$5,$F33))*(DATE(YEAR(J$5),MONTH(J$5),MIN(DAY($F33),DAY(EOMONTH(J$5,0))))&lt;=J$6)*(MOD((YEAR(J$5)-YEAR($F33))*12+MONTH(J$5)-MONTH($F33),1)=0)+(MONTH(J$6)&lt;&gt;MONTH(J$5))*(DATE(YEAR(J$6),MONTH(J$6),MIN(DAY($F33),DAY(EOMONTH(J$6,0))))&gt;=$F33)*(DATE(YEAR(J$6),MONTH(J$6),MIN(DAY($F33),DAY(EOMONTH(J$6,0))))&gt;=J$5)*(DATE(YEAR(J$6),MONTH(J$6),MIN(DAY($F33),DAY(EOMONTH(J$6,0))))&lt;=J$6)*(MOD((YEAR(J$6)-YEAR($F33))*12+MONTH(J$6)-MONTH($F33),1)=0)),IF($D33="Quarterly",((DATE(YEAR(J$5),MONTH(J$5),MIN(DAY($F33),DAY(EOMONTH(J$5,0))))&gt;=MAX(J$5,$F33))*(DATE(YEAR(J$5),MONTH(J$5),MIN(DAY($F33),DAY(EOMONTH(J$5,0))))&lt;=J$6)*(MOD((YEAR(J$5)-YEAR($F33))*12+MONTH(J$5)-MONTH($F33),3)=0)+(MONTH(J$6)&lt;&gt;MONTH(J$5))*(DATE(YEAR(J$6),MONTH(J$6),MIN(DAY($F33),DAY(EOMONTH(J$6,0))))&gt;=$F33)*(DATE(YEAR(J$6),MONTH(J$6),MIN(DAY($F33),DAY(EOMONTH(J$6,0))))&gt;=J$5)*(DATE(YEAR(J$6),MONTH(J$6),MIN(DAY($F33),DAY(EOMONTH(J$6,0))))&lt;=J$6)*(MOD((YEAR(J$6)-YEAR($F33))*12+MONTH(J$6)-MONTH($F33),3)=0)),IF($D33="One-off",($F33&gt;=J$5)*($F33&lt;=J$6),0))))))</f>
        <v>0</v>
      </c>
      <c r="K33" s="19">
        <f>IF(OR($E33="",$F33="",$D33=""),0,IF(OR($C33="Loan and finance repayments",$C33="VAT and taxes",$C33="Capital expenditure",$C33="Licences and regulatory fees"),1,1+CostAdj)*$E33*IF($D33="Weekly",(MAX(0,INT((K$6-$F33)/7)+1)-MAX(0,INT((K$5-1-$F33)/7)+1)),IF($D33="Fortnightly",(MAX(0,INT((K$6-$F33)/14)+1)-MAX(0,INT((K$5-1-$F33)/14)+1)),IF($D33="Monthly",((DATE(YEAR(K$5),MONTH(K$5),MIN(DAY($F33),DAY(EOMONTH(K$5,0))))&gt;=MAX(K$5,$F33))*(DATE(YEAR(K$5),MONTH(K$5),MIN(DAY($F33),DAY(EOMONTH(K$5,0))))&lt;=K$6)*(MOD((YEAR(K$5)-YEAR($F33))*12+MONTH(K$5)-MONTH($F33),1)=0)+(MONTH(K$6)&lt;&gt;MONTH(K$5))*(DATE(YEAR(K$6),MONTH(K$6),MIN(DAY($F33),DAY(EOMONTH(K$6,0))))&gt;=$F33)*(DATE(YEAR(K$6),MONTH(K$6),MIN(DAY($F33),DAY(EOMONTH(K$6,0))))&gt;=K$5)*(DATE(YEAR(K$6),MONTH(K$6),MIN(DAY($F33),DAY(EOMONTH(K$6,0))))&lt;=K$6)*(MOD((YEAR(K$6)-YEAR($F33))*12+MONTH(K$6)-MONTH($F33),1)=0)),IF($D33="Quarterly",((DATE(YEAR(K$5),MONTH(K$5),MIN(DAY($F33),DAY(EOMONTH(K$5,0))))&gt;=MAX(K$5,$F33))*(DATE(YEAR(K$5),MONTH(K$5),MIN(DAY($F33),DAY(EOMONTH(K$5,0))))&lt;=K$6)*(MOD((YEAR(K$5)-YEAR($F33))*12+MONTH(K$5)-MONTH($F33),3)=0)+(MONTH(K$6)&lt;&gt;MONTH(K$5))*(DATE(YEAR(K$6),MONTH(K$6),MIN(DAY($F33),DAY(EOMONTH(K$6,0))))&gt;=$F33)*(DATE(YEAR(K$6),MONTH(K$6),MIN(DAY($F33),DAY(EOMONTH(K$6,0))))&gt;=K$5)*(DATE(YEAR(K$6),MONTH(K$6),MIN(DAY($F33),DAY(EOMONTH(K$6,0))))&lt;=K$6)*(MOD((YEAR(K$6)-YEAR($F33))*12+MONTH(K$6)-MONTH($F33),3)=0)),IF($D33="One-off",($F33&gt;=K$5)*($F33&lt;=K$6),0))))))</f>
        <v>0</v>
      </c>
      <c r="L33" s="19">
        <f>IF(OR($E33="",$F33="",$D33=""),0,IF(OR($C33="Loan and finance repayments",$C33="VAT and taxes",$C33="Capital expenditure",$C33="Licences and regulatory fees"),1,1+CostAdj)*$E33*IF($D33="Weekly",(MAX(0,INT((L$6-$F33)/7)+1)-MAX(0,INT((L$5-1-$F33)/7)+1)),IF($D33="Fortnightly",(MAX(0,INT((L$6-$F33)/14)+1)-MAX(0,INT((L$5-1-$F33)/14)+1)),IF($D33="Monthly",((DATE(YEAR(L$5),MONTH(L$5),MIN(DAY($F33),DAY(EOMONTH(L$5,0))))&gt;=MAX(L$5,$F33))*(DATE(YEAR(L$5),MONTH(L$5),MIN(DAY($F33),DAY(EOMONTH(L$5,0))))&lt;=L$6)*(MOD((YEAR(L$5)-YEAR($F33))*12+MONTH(L$5)-MONTH($F33),1)=0)+(MONTH(L$6)&lt;&gt;MONTH(L$5))*(DATE(YEAR(L$6),MONTH(L$6),MIN(DAY($F33),DAY(EOMONTH(L$6,0))))&gt;=$F33)*(DATE(YEAR(L$6),MONTH(L$6),MIN(DAY($F33),DAY(EOMONTH(L$6,0))))&gt;=L$5)*(DATE(YEAR(L$6),MONTH(L$6),MIN(DAY($F33),DAY(EOMONTH(L$6,0))))&lt;=L$6)*(MOD((YEAR(L$6)-YEAR($F33))*12+MONTH(L$6)-MONTH($F33),1)=0)),IF($D33="Quarterly",((DATE(YEAR(L$5),MONTH(L$5),MIN(DAY($F33),DAY(EOMONTH(L$5,0))))&gt;=MAX(L$5,$F33))*(DATE(YEAR(L$5),MONTH(L$5),MIN(DAY($F33),DAY(EOMONTH(L$5,0))))&lt;=L$6)*(MOD((YEAR(L$5)-YEAR($F33))*12+MONTH(L$5)-MONTH($F33),3)=0)+(MONTH(L$6)&lt;&gt;MONTH(L$5))*(DATE(YEAR(L$6),MONTH(L$6),MIN(DAY($F33),DAY(EOMONTH(L$6,0))))&gt;=$F33)*(DATE(YEAR(L$6),MONTH(L$6),MIN(DAY($F33),DAY(EOMONTH(L$6,0))))&gt;=L$5)*(DATE(YEAR(L$6),MONTH(L$6),MIN(DAY($F33),DAY(EOMONTH(L$6,0))))&lt;=L$6)*(MOD((YEAR(L$6)-YEAR($F33))*12+MONTH(L$6)-MONTH($F33),3)=0)),IF($D33="One-off",($F33&gt;=L$5)*($F33&lt;=L$6),0))))))</f>
        <v>0</v>
      </c>
      <c r="M33" s="19">
        <f>IF(OR($E33="",$F33="",$D33=""),0,IF(OR($C33="Loan and finance repayments",$C33="VAT and taxes",$C33="Capital expenditure",$C33="Licences and regulatory fees"),1,1+CostAdj)*$E33*IF($D33="Weekly",(MAX(0,INT((M$6-$F33)/7)+1)-MAX(0,INT((M$5-1-$F33)/7)+1)),IF($D33="Fortnightly",(MAX(0,INT((M$6-$F33)/14)+1)-MAX(0,INT((M$5-1-$F33)/14)+1)),IF($D33="Monthly",((DATE(YEAR(M$5),MONTH(M$5),MIN(DAY($F33),DAY(EOMONTH(M$5,0))))&gt;=MAX(M$5,$F33))*(DATE(YEAR(M$5),MONTH(M$5),MIN(DAY($F33),DAY(EOMONTH(M$5,0))))&lt;=M$6)*(MOD((YEAR(M$5)-YEAR($F33))*12+MONTH(M$5)-MONTH($F33),1)=0)+(MONTH(M$6)&lt;&gt;MONTH(M$5))*(DATE(YEAR(M$6),MONTH(M$6),MIN(DAY($F33),DAY(EOMONTH(M$6,0))))&gt;=$F33)*(DATE(YEAR(M$6),MONTH(M$6),MIN(DAY($F33),DAY(EOMONTH(M$6,0))))&gt;=M$5)*(DATE(YEAR(M$6),MONTH(M$6),MIN(DAY($F33),DAY(EOMONTH(M$6,0))))&lt;=M$6)*(MOD((YEAR(M$6)-YEAR($F33))*12+MONTH(M$6)-MONTH($F33),1)=0)),IF($D33="Quarterly",((DATE(YEAR(M$5),MONTH(M$5),MIN(DAY($F33),DAY(EOMONTH(M$5,0))))&gt;=MAX(M$5,$F33))*(DATE(YEAR(M$5),MONTH(M$5),MIN(DAY($F33),DAY(EOMONTH(M$5,0))))&lt;=M$6)*(MOD((YEAR(M$5)-YEAR($F33))*12+MONTH(M$5)-MONTH($F33),3)=0)+(MONTH(M$6)&lt;&gt;MONTH(M$5))*(DATE(YEAR(M$6),MONTH(M$6),MIN(DAY($F33),DAY(EOMONTH(M$6,0))))&gt;=$F33)*(DATE(YEAR(M$6),MONTH(M$6),MIN(DAY($F33),DAY(EOMONTH(M$6,0))))&gt;=M$5)*(DATE(YEAR(M$6),MONTH(M$6),MIN(DAY($F33),DAY(EOMONTH(M$6,0))))&lt;=M$6)*(MOD((YEAR(M$6)-YEAR($F33))*12+MONTH(M$6)-MONTH($F33),3)=0)),IF($D33="One-off",($F33&gt;=M$5)*($F33&lt;=M$6),0))))))</f>
        <v>0</v>
      </c>
      <c r="N33" s="19">
        <f>IF(OR($E33="",$F33="",$D33=""),0,IF(OR($C33="Loan and finance repayments",$C33="VAT and taxes",$C33="Capital expenditure",$C33="Licences and regulatory fees"),1,1+CostAdj)*$E33*IF($D33="Weekly",(MAX(0,INT((N$6-$F33)/7)+1)-MAX(0,INT((N$5-1-$F33)/7)+1)),IF($D33="Fortnightly",(MAX(0,INT((N$6-$F33)/14)+1)-MAX(0,INT((N$5-1-$F33)/14)+1)),IF($D33="Monthly",((DATE(YEAR(N$5),MONTH(N$5),MIN(DAY($F33),DAY(EOMONTH(N$5,0))))&gt;=MAX(N$5,$F33))*(DATE(YEAR(N$5),MONTH(N$5),MIN(DAY($F33),DAY(EOMONTH(N$5,0))))&lt;=N$6)*(MOD((YEAR(N$5)-YEAR($F33))*12+MONTH(N$5)-MONTH($F33),1)=0)+(MONTH(N$6)&lt;&gt;MONTH(N$5))*(DATE(YEAR(N$6),MONTH(N$6),MIN(DAY($F33),DAY(EOMONTH(N$6,0))))&gt;=$F33)*(DATE(YEAR(N$6),MONTH(N$6),MIN(DAY($F33),DAY(EOMONTH(N$6,0))))&gt;=N$5)*(DATE(YEAR(N$6),MONTH(N$6),MIN(DAY($F33),DAY(EOMONTH(N$6,0))))&lt;=N$6)*(MOD((YEAR(N$6)-YEAR($F33))*12+MONTH(N$6)-MONTH($F33),1)=0)),IF($D33="Quarterly",((DATE(YEAR(N$5),MONTH(N$5),MIN(DAY($F33),DAY(EOMONTH(N$5,0))))&gt;=MAX(N$5,$F33))*(DATE(YEAR(N$5),MONTH(N$5),MIN(DAY($F33),DAY(EOMONTH(N$5,0))))&lt;=N$6)*(MOD((YEAR(N$5)-YEAR($F33))*12+MONTH(N$5)-MONTH($F33),3)=0)+(MONTH(N$6)&lt;&gt;MONTH(N$5))*(DATE(YEAR(N$6),MONTH(N$6),MIN(DAY($F33),DAY(EOMONTH(N$6,0))))&gt;=$F33)*(DATE(YEAR(N$6),MONTH(N$6),MIN(DAY($F33),DAY(EOMONTH(N$6,0))))&gt;=N$5)*(DATE(YEAR(N$6),MONTH(N$6),MIN(DAY($F33),DAY(EOMONTH(N$6,0))))&lt;=N$6)*(MOD((YEAR(N$6)-YEAR($F33))*12+MONTH(N$6)-MONTH($F33),3)=0)),IF($D33="One-off",($F33&gt;=N$5)*($F33&lt;=N$6),0))))))</f>
        <v>0</v>
      </c>
      <c r="O33" s="19">
        <f>IF(OR($E33="",$F33="",$D33=""),0,IF(OR($C33="Loan and finance repayments",$C33="VAT and taxes",$C33="Capital expenditure",$C33="Licences and regulatory fees"),1,1+CostAdj)*$E33*IF($D33="Weekly",(MAX(0,INT((O$6-$F33)/7)+1)-MAX(0,INT((O$5-1-$F33)/7)+1)),IF($D33="Fortnightly",(MAX(0,INT((O$6-$F33)/14)+1)-MAX(0,INT((O$5-1-$F33)/14)+1)),IF($D33="Monthly",((DATE(YEAR(O$5),MONTH(O$5),MIN(DAY($F33),DAY(EOMONTH(O$5,0))))&gt;=MAX(O$5,$F33))*(DATE(YEAR(O$5),MONTH(O$5),MIN(DAY($F33),DAY(EOMONTH(O$5,0))))&lt;=O$6)*(MOD((YEAR(O$5)-YEAR($F33))*12+MONTH(O$5)-MONTH($F33),1)=0)+(MONTH(O$6)&lt;&gt;MONTH(O$5))*(DATE(YEAR(O$6),MONTH(O$6),MIN(DAY($F33),DAY(EOMONTH(O$6,0))))&gt;=$F33)*(DATE(YEAR(O$6),MONTH(O$6),MIN(DAY($F33),DAY(EOMONTH(O$6,0))))&gt;=O$5)*(DATE(YEAR(O$6),MONTH(O$6),MIN(DAY($F33),DAY(EOMONTH(O$6,0))))&lt;=O$6)*(MOD((YEAR(O$6)-YEAR($F33))*12+MONTH(O$6)-MONTH($F33),1)=0)),IF($D33="Quarterly",((DATE(YEAR(O$5),MONTH(O$5),MIN(DAY($F33),DAY(EOMONTH(O$5,0))))&gt;=MAX(O$5,$F33))*(DATE(YEAR(O$5),MONTH(O$5),MIN(DAY($F33),DAY(EOMONTH(O$5,0))))&lt;=O$6)*(MOD((YEAR(O$5)-YEAR($F33))*12+MONTH(O$5)-MONTH($F33),3)=0)+(MONTH(O$6)&lt;&gt;MONTH(O$5))*(DATE(YEAR(O$6),MONTH(O$6),MIN(DAY($F33),DAY(EOMONTH(O$6,0))))&gt;=$F33)*(DATE(YEAR(O$6),MONTH(O$6),MIN(DAY($F33),DAY(EOMONTH(O$6,0))))&gt;=O$5)*(DATE(YEAR(O$6),MONTH(O$6),MIN(DAY($F33),DAY(EOMONTH(O$6,0))))&lt;=O$6)*(MOD((YEAR(O$6)-YEAR($F33))*12+MONTH(O$6)-MONTH($F33),3)=0)),IF($D33="One-off",($F33&gt;=O$5)*($F33&lt;=O$6),0))))))</f>
        <v>0</v>
      </c>
      <c r="P33" s="19">
        <f>IF(OR($E33="",$F33="",$D33=""),0,IF(OR($C33="Loan and finance repayments",$C33="VAT and taxes",$C33="Capital expenditure",$C33="Licences and regulatory fees"),1,1+CostAdj)*$E33*IF($D33="Weekly",(MAX(0,INT((P$6-$F33)/7)+1)-MAX(0,INT((P$5-1-$F33)/7)+1)),IF($D33="Fortnightly",(MAX(0,INT((P$6-$F33)/14)+1)-MAX(0,INT((P$5-1-$F33)/14)+1)),IF($D33="Monthly",((DATE(YEAR(P$5),MONTH(P$5),MIN(DAY($F33),DAY(EOMONTH(P$5,0))))&gt;=MAX(P$5,$F33))*(DATE(YEAR(P$5),MONTH(P$5),MIN(DAY($F33),DAY(EOMONTH(P$5,0))))&lt;=P$6)*(MOD((YEAR(P$5)-YEAR($F33))*12+MONTH(P$5)-MONTH($F33),1)=0)+(MONTH(P$6)&lt;&gt;MONTH(P$5))*(DATE(YEAR(P$6),MONTH(P$6),MIN(DAY($F33),DAY(EOMONTH(P$6,0))))&gt;=$F33)*(DATE(YEAR(P$6),MONTH(P$6),MIN(DAY($F33),DAY(EOMONTH(P$6,0))))&gt;=P$5)*(DATE(YEAR(P$6),MONTH(P$6),MIN(DAY($F33),DAY(EOMONTH(P$6,0))))&lt;=P$6)*(MOD((YEAR(P$6)-YEAR($F33))*12+MONTH(P$6)-MONTH($F33),1)=0)),IF($D33="Quarterly",((DATE(YEAR(P$5),MONTH(P$5),MIN(DAY($F33),DAY(EOMONTH(P$5,0))))&gt;=MAX(P$5,$F33))*(DATE(YEAR(P$5),MONTH(P$5),MIN(DAY($F33),DAY(EOMONTH(P$5,0))))&lt;=P$6)*(MOD((YEAR(P$5)-YEAR($F33))*12+MONTH(P$5)-MONTH($F33),3)=0)+(MONTH(P$6)&lt;&gt;MONTH(P$5))*(DATE(YEAR(P$6),MONTH(P$6),MIN(DAY($F33),DAY(EOMONTH(P$6,0))))&gt;=$F33)*(DATE(YEAR(P$6),MONTH(P$6),MIN(DAY($F33),DAY(EOMONTH(P$6,0))))&gt;=P$5)*(DATE(YEAR(P$6),MONTH(P$6),MIN(DAY($F33),DAY(EOMONTH(P$6,0))))&lt;=P$6)*(MOD((YEAR(P$6)-YEAR($F33))*12+MONTH(P$6)-MONTH($F33),3)=0)),IF($D33="One-off",($F33&gt;=P$5)*($F33&lt;=P$6),0))))))</f>
        <v>0</v>
      </c>
      <c r="Q33" s="19">
        <f>IF(OR($E33="",$F33="",$D33=""),0,IF(OR($C33="Loan and finance repayments",$C33="VAT and taxes",$C33="Capital expenditure",$C33="Licences and regulatory fees"),1,1+CostAdj)*$E33*IF($D33="Weekly",(MAX(0,INT((Q$6-$F33)/7)+1)-MAX(0,INT((Q$5-1-$F33)/7)+1)),IF($D33="Fortnightly",(MAX(0,INT((Q$6-$F33)/14)+1)-MAX(0,INT((Q$5-1-$F33)/14)+1)),IF($D33="Monthly",((DATE(YEAR(Q$5),MONTH(Q$5),MIN(DAY($F33),DAY(EOMONTH(Q$5,0))))&gt;=MAX(Q$5,$F33))*(DATE(YEAR(Q$5),MONTH(Q$5),MIN(DAY($F33),DAY(EOMONTH(Q$5,0))))&lt;=Q$6)*(MOD((YEAR(Q$5)-YEAR($F33))*12+MONTH(Q$5)-MONTH($F33),1)=0)+(MONTH(Q$6)&lt;&gt;MONTH(Q$5))*(DATE(YEAR(Q$6),MONTH(Q$6),MIN(DAY($F33),DAY(EOMONTH(Q$6,0))))&gt;=$F33)*(DATE(YEAR(Q$6),MONTH(Q$6),MIN(DAY($F33),DAY(EOMONTH(Q$6,0))))&gt;=Q$5)*(DATE(YEAR(Q$6),MONTH(Q$6),MIN(DAY($F33),DAY(EOMONTH(Q$6,0))))&lt;=Q$6)*(MOD((YEAR(Q$6)-YEAR($F33))*12+MONTH(Q$6)-MONTH($F33),1)=0)),IF($D33="Quarterly",((DATE(YEAR(Q$5),MONTH(Q$5),MIN(DAY($F33),DAY(EOMONTH(Q$5,0))))&gt;=MAX(Q$5,$F33))*(DATE(YEAR(Q$5),MONTH(Q$5),MIN(DAY($F33),DAY(EOMONTH(Q$5,0))))&lt;=Q$6)*(MOD((YEAR(Q$5)-YEAR($F33))*12+MONTH(Q$5)-MONTH($F33),3)=0)+(MONTH(Q$6)&lt;&gt;MONTH(Q$5))*(DATE(YEAR(Q$6),MONTH(Q$6),MIN(DAY($F33),DAY(EOMONTH(Q$6,0))))&gt;=$F33)*(DATE(YEAR(Q$6),MONTH(Q$6),MIN(DAY($F33),DAY(EOMONTH(Q$6,0))))&gt;=Q$5)*(DATE(YEAR(Q$6),MONTH(Q$6),MIN(DAY($F33),DAY(EOMONTH(Q$6,0))))&lt;=Q$6)*(MOD((YEAR(Q$6)-YEAR($F33))*12+MONTH(Q$6)-MONTH($F33),3)=0)),IF($D33="One-off",($F33&gt;=Q$5)*($F33&lt;=Q$6),0))))))</f>
        <v>0</v>
      </c>
      <c r="R33" s="19">
        <f>IF(OR($E33="",$F33="",$D33=""),0,IF(OR($C33="Loan and finance repayments",$C33="VAT and taxes",$C33="Capital expenditure",$C33="Licences and regulatory fees"),1,1+CostAdj)*$E33*IF($D33="Weekly",(MAX(0,INT((R$6-$F33)/7)+1)-MAX(0,INT((R$5-1-$F33)/7)+1)),IF($D33="Fortnightly",(MAX(0,INT((R$6-$F33)/14)+1)-MAX(0,INT((R$5-1-$F33)/14)+1)),IF($D33="Monthly",((DATE(YEAR(R$5),MONTH(R$5),MIN(DAY($F33),DAY(EOMONTH(R$5,0))))&gt;=MAX(R$5,$F33))*(DATE(YEAR(R$5),MONTH(R$5),MIN(DAY($F33),DAY(EOMONTH(R$5,0))))&lt;=R$6)*(MOD((YEAR(R$5)-YEAR($F33))*12+MONTH(R$5)-MONTH($F33),1)=0)+(MONTH(R$6)&lt;&gt;MONTH(R$5))*(DATE(YEAR(R$6),MONTH(R$6),MIN(DAY($F33),DAY(EOMONTH(R$6,0))))&gt;=$F33)*(DATE(YEAR(R$6),MONTH(R$6),MIN(DAY($F33),DAY(EOMONTH(R$6,0))))&gt;=R$5)*(DATE(YEAR(R$6),MONTH(R$6),MIN(DAY($F33),DAY(EOMONTH(R$6,0))))&lt;=R$6)*(MOD((YEAR(R$6)-YEAR($F33))*12+MONTH(R$6)-MONTH($F33),1)=0)),IF($D33="Quarterly",((DATE(YEAR(R$5),MONTH(R$5),MIN(DAY($F33),DAY(EOMONTH(R$5,0))))&gt;=MAX(R$5,$F33))*(DATE(YEAR(R$5),MONTH(R$5),MIN(DAY($F33),DAY(EOMONTH(R$5,0))))&lt;=R$6)*(MOD((YEAR(R$5)-YEAR($F33))*12+MONTH(R$5)-MONTH($F33),3)=0)+(MONTH(R$6)&lt;&gt;MONTH(R$5))*(DATE(YEAR(R$6),MONTH(R$6),MIN(DAY($F33),DAY(EOMONTH(R$6,0))))&gt;=$F33)*(DATE(YEAR(R$6),MONTH(R$6),MIN(DAY($F33),DAY(EOMONTH(R$6,0))))&gt;=R$5)*(DATE(YEAR(R$6),MONTH(R$6),MIN(DAY($F33),DAY(EOMONTH(R$6,0))))&lt;=R$6)*(MOD((YEAR(R$6)-YEAR($F33))*12+MONTH(R$6)-MONTH($F33),3)=0)),IF($D33="One-off",($F33&gt;=R$5)*($F33&lt;=R$6),0))))))</f>
        <v>0</v>
      </c>
      <c r="S33" s="19">
        <f>IF(OR($E33="",$F33="",$D33=""),0,IF(OR($C33="Loan and finance repayments",$C33="VAT and taxes",$C33="Capital expenditure",$C33="Licences and regulatory fees"),1,1+CostAdj)*$E33*IF($D33="Weekly",(MAX(0,INT((S$6-$F33)/7)+1)-MAX(0,INT((S$5-1-$F33)/7)+1)),IF($D33="Fortnightly",(MAX(0,INT((S$6-$F33)/14)+1)-MAX(0,INT((S$5-1-$F33)/14)+1)),IF($D33="Monthly",((DATE(YEAR(S$5),MONTH(S$5),MIN(DAY($F33),DAY(EOMONTH(S$5,0))))&gt;=MAX(S$5,$F33))*(DATE(YEAR(S$5),MONTH(S$5),MIN(DAY($F33),DAY(EOMONTH(S$5,0))))&lt;=S$6)*(MOD((YEAR(S$5)-YEAR($F33))*12+MONTH(S$5)-MONTH($F33),1)=0)+(MONTH(S$6)&lt;&gt;MONTH(S$5))*(DATE(YEAR(S$6),MONTH(S$6),MIN(DAY($F33),DAY(EOMONTH(S$6,0))))&gt;=$F33)*(DATE(YEAR(S$6),MONTH(S$6),MIN(DAY($F33),DAY(EOMONTH(S$6,0))))&gt;=S$5)*(DATE(YEAR(S$6),MONTH(S$6),MIN(DAY($F33),DAY(EOMONTH(S$6,0))))&lt;=S$6)*(MOD((YEAR(S$6)-YEAR($F33))*12+MONTH(S$6)-MONTH($F33),1)=0)),IF($D33="Quarterly",((DATE(YEAR(S$5),MONTH(S$5),MIN(DAY($F33),DAY(EOMONTH(S$5,0))))&gt;=MAX(S$5,$F33))*(DATE(YEAR(S$5),MONTH(S$5),MIN(DAY($F33),DAY(EOMONTH(S$5,0))))&lt;=S$6)*(MOD((YEAR(S$5)-YEAR($F33))*12+MONTH(S$5)-MONTH($F33),3)=0)+(MONTH(S$6)&lt;&gt;MONTH(S$5))*(DATE(YEAR(S$6),MONTH(S$6),MIN(DAY($F33),DAY(EOMONTH(S$6,0))))&gt;=$F33)*(DATE(YEAR(S$6),MONTH(S$6),MIN(DAY($F33),DAY(EOMONTH(S$6,0))))&gt;=S$5)*(DATE(YEAR(S$6),MONTH(S$6),MIN(DAY($F33),DAY(EOMONTH(S$6,0))))&lt;=S$6)*(MOD((YEAR(S$6)-YEAR($F33))*12+MONTH(S$6)-MONTH($F33),3)=0)),IF($D33="One-off",($F33&gt;=S$5)*($F33&lt;=S$6),0))))))</f>
        <v>0</v>
      </c>
      <c r="T33" s="19">
        <f>IF(OR($E33="",$F33="",$D33=""),0,IF(OR($C33="Loan and finance repayments",$C33="VAT and taxes",$C33="Capital expenditure",$C33="Licences and regulatory fees"),1,1+CostAdj)*$E33*IF($D33="Weekly",(MAX(0,INT((T$6-$F33)/7)+1)-MAX(0,INT((T$5-1-$F33)/7)+1)),IF($D33="Fortnightly",(MAX(0,INT((T$6-$F33)/14)+1)-MAX(0,INT((T$5-1-$F33)/14)+1)),IF($D33="Monthly",((DATE(YEAR(T$5),MONTH(T$5),MIN(DAY($F33),DAY(EOMONTH(T$5,0))))&gt;=MAX(T$5,$F33))*(DATE(YEAR(T$5),MONTH(T$5),MIN(DAY($F33),DAY(EOMONTH(T$5,0))))&lt;=T$6)*(MOD((YEAR(T$5)-YEAR($F33))*12+MONTH(T$5)-MONTH($F33),1)=0)+(MONTH(T$6)&lt;&gt;MONTH(T$5))*(DATE(YEAR(T$6),MONTH(T$6),MIN(DAY($F33),DAY(EOMONTH(T$6,0))))&gt;=$F33)*(DATE(YEAR(T$6),MONTH(T$6),MIN(DAY($F33),DAY(EOMONTH(T$6,0))))&gt;=T$5)*(DATE(YEAR(T$6),MONTH(T$6),MIN(DAY($F33),DAY(EOMONTH(T$6,0))))&lt;=T$6)*(MOD((YEAR(T$6)-YEAR($F33))*12+MONTH(T$6)-MONTH($F33),1)=0)),IF($D33="Quarterly",((DATE(YEAR(T$5),MONTH(T$5),MIN(DAY($F33),DAY(EOMONTH(T$5,0))))&gt;=MAX(T$5,$F33))*(DATE(YEAR(T$5),MONTH(T$5),MIN(DAY($F33),DAY(EOMONTH(T$5,0))))&lt;=T$6)*(MOD((YEAR(T$5)-YEAR($F33))*12+MONTH(T$5)-MONTH($F33),3)=0)+(MONTH(T$6)&lt;&gt;MONTH(T$5))*(DATE(YEAR(T$6),MONTH(T$6),MIN(DAY($F33),DAY(EOMONTH(T$6,0))))&gt;=$F33)*(DATE(YEAR(T$6),MONTH(T$6),MIN(DAY($F33),DAY(EOMONTH(T$6,0))))&gt;=T$5)*(DATE(YEAR(T$6),MONTH(T$6),MIN(DAY($F33),DAY(EOMONTH(T$6,0))))&lt;=T$6)*(MOD((YEAR(T$6)-YEAR($F33))*12+MONTH(T$6)-MONTH($F33),3)=0)),IF($D33="One-off",($F33&gt;=T$5)*($F33&lt;=T$6),0))))))</f>
        <v>0</v>
      </c>
      <c r="U33" s="36">
        <f>SUM(H33:T33)</f>
        <v>0</v>
      </c>
    </row>
    <row r="34" spans="1:21">
      <c r="A34" s="42">
        <v>26</v>
      </c>
      <c r="B34" s="7"/>
      <c r="C34" s="7"/>
      <c r="D34" s="7"/>
      <c r="E34" s="18"/>
      <c r="F34" s="17"/>
      <c r="G34" s="7"/>
      <c r="H34" s="19">
        <f>IF(OR($E34="",$F34="",$D34=""),0,IF(OR($C34="Loan and finance repayments",$C34="VAT and taxes",$C34="Capital expenditure",$C34="Licences and regulatory fees"),1,1+CostAdj)*$E34*IF($D34="Weekly",(MAX(0,INT((H$6-$F34)/7)+1)-MAX(0,INT((H$5-1-$F34)/7)+1)),IF($D34="Fortnightly",(MAX(0,INT((H$6-$F34)/14)+1)-MAX(0,INT((H$5-1-$F34)/14)+1)),IF($D34="Monthly",((DATE(YEAR(H$5),MONTH(H$5),MIN(DAY($F34),DAY(EOMONTH(H$5,0))))&gt;=MAX(H$5,$F34))*(DATE(YEAR(H$5),MONTH(H$5),MIN(DAY($F34),DAY(EOMONTH(H$5,0))))&lt;=H$6)*(MOD((YEAR(H$5)-YEAR($F34))*12+MONTH(H$5)-MONTH($F34),1)=0)+(MONTH(H$6)&lt;&gt;MONTH(H$5))*(DATE(YEAR(H$6),MONTH(H$6),MIN(DAY($F34),DAY(EOMONTH(H$6,0))))&gt;=$F34)*(DATE(YEAR(H$6),MONTH(H$6),MIN(DAY($F34),DAY(EOMONTH(H$6,0))))&gt;=H$5)*(DATE(YEAR(H$6),MONTH(H$6),MIN(DAY($F34),DAY(EOMONTH(H$6,0))))&lt;=H$6)*(MOD((YEAR(H$6)-YEAR($F34))*12+MONTH(H$6)-MONTH($F34),1)=0)),IF($D34="Quarterly",((DATE(YEAR(H$5),MONTH(H$5),MIN(DAY($F34),DAY(EOMONTH(H$5,0))))&gt;=MAX(H$5,$F34))*(DATE(YEAR(H$5),MONTH(H$5),MIN(DAY($F34),DAY(EOMONTH(H$5,0))))&lt;=H$6)*(MOD((YEAR(H$5)-YEAR($F34))*12+MONTH(H$5)-MONTH($F34),3)=0)+(MONTH(H$6)&lt;&gt;MONTH(H$5))*(DATE(YEAR(H$6),MONTH(H$6),MIN(DAY($F34),DAY(EOMONTH(H$6,0))))&gt;=$F34)*(DATE(YEAR(H$6),MONTH(H$6),MIN(DAY($F34),DAY(EOMONTH(H$6,0))))&gt;=H$5)*(DATE(YEAR(H$6),MONTH(H$6),MIN(DAY($F34),DAY(EOMONTH(H$6,0))))&lt;=H$6)*(MOD((YEAR(H$6)-YEAR($F34))*12+MONTH(H$6)-MONTH($F34),3)=0)),IF($D34="One-off",($F34&gt;=H$5)*($F34&lt;=H$6),0))))))</f>
        <v>0</v>
      </c>
      <c r="I34" s="19">
        <f>IF(OR($E34="",$F34="",$D34=""),0,IF(OR($C34="Loan and finance repayments",$C34="VAT and taxes",$C34="Capital expenditure",$C34="Licences and regulatory fees"),1,1+CostAdj)*$E34*IF($D34="Weekly",(MAX(0,INT((I$6-$F34)/7)+1)-MAX(0,INT((I$5-1-$F34)/7)+1)),IF($D34="Fortnightly",(MAX(0,INT((I$6-$F34)/14)+1)-MAX(0,INT((I$5-1-$F34)/14)+1)),IF($D34="Monthly",((DATE(YEAR(I$5),MONTH(I$5),MIN(DAY($F34),DAY(EOMONTH(I$5,0))))&gt;=MAX(I$5,$F34))*(DATE(YEAR(I$5),MONTH(I$5),MIN(DAY($F34),DAY(EOMONTH(I$5,0))))&lt;=I$6)*(MOD((YEAR(I$5)-YEAR($F34))*12+MONTH(I$5)-MONTH($F34),1)=0)+(MONTH(I$6)&lt;&gt;MONTH(I$5))*(DATE(YEAR(I$6),MONTH(I$6),MIN(DAY($F34),DAY(EOMONTH(I$6,0))))&gt;=$F34)*(DATE(YEAR(I$6),MONTH(I$6),MIN(DAY($F34),DAY(EOMONTH(I$6,0))))&gt;=I$5)*(DATE(YEAR(I$6),MONTH(I$6),MIN(DAY($F34),DAY(EOMONTH(I$6,0))))&lt;=I$6)*(MOD((YEAR(I$6)-YEAR($F34))*12+MONTH(I$6)-MONTH($F34),1)=0)),IF($D34="Quarterly",((DATE(YEAR(I$5),MONTH(I$5),MIN(DAY($F34),DAY(EOMONTH(I$5,0))))&gt;=MAX(I$5,$F34))*(DATE(YEAR(I$5),MONTH(I$5),MIN(DAY($F34),DAY(EOMONTH(I$5,0))))&lt;=I$6)*(MOD((YEAR(I$5)-YEAR($F34))*12+MONTH(I$5)-MONTH($F34),3)=0)+(MONTH(I$6)&lt;&gt;MONTH(I$5))*(DATE(YEAR(I$6),MONTH(I$6),MIN(DAY($F34),DAY(EOMONTH(I$6,0))))&gt;=$F34)*(DATE(YEAR(I$6),MONTH(I$6),MIN(DAY($F34),DAY(EOMONTH(I$6,0))))&gt;=I$5)*(DATE(YEAR(I$6),MONTH(I$6),MIN(DAY($F34),DAY(EOMONTH(I$6,0))))&lt;=I$6)*(MOD((YEAR(I$6)-YEAR($F34))*12+MONTH(I$6)-MONTH($F34),3)=0)),IF($D34="One-off",($F34&gt;=I$5)*($F34&lt;=I$6),0))))))</f>
        <v>0</v>
      </c>
      <c r="J34" s="19">
        <f>IF(OR($E34="",$F34="",$D34=""),0,IF(OR($C34="Loan and finance repayments",$C34="VAT and taxes",$C34="Capital expenditure",$C34="Licences and regulatory fees"),1,1+CostAdj)*$E34*IF($D34="Weekly",(MAX(0,INT((J$6-$F34)/7)+1)-MAX(0,INT((J$5-1-$F34)/7)+1)),IF($D34="Fortnightly",(MAX(0,INT((J$6-$F34)/14)+1)-MAX(0,INT((J$5-1-$F34)/14)+1)),IF($D34="Monthly",((DATE(YEAR(J$5),MONTH(J$5),MIN(DAY($F34),DAY(EOMONTH(J$5,0))))&gt;=MAX(J$5,$F34))*(DATE(YEAR(J$5),MONTH(J$5),MIN(DAY($F34),DAY(EOMONTH(J$5,0))))&lt;=J$6)*(MOD((YEAR(J$5)-YEAR($F34))*12+MONTH(J$5)-MONTH($F34),1)=0)+(MONTH(J$6)&lt;&gt;MONTH(J$5))*(DATE(YEAR(J$6),MONTH(J$6),MIN(DAY($F34),DAY(EOMONTH(J$6,0))))&gt;=$F34)*(DATE(YEAR(J$6),MONTH(J$6),MIN(DAY($F34),DAY(EOMONTH(J$6,0))))&gt;=J$5)*(DATE(YEAR(J$6),MONTH(J$6),MIN(DAY($F34),DAY(EOMONTH(J$6,0))))&lt;=J$6)*(MOD((YEAR(J$6)-YEAR($F34))*12+MONTH(J$6)-MONTH($F34),1)=0)),IF($D34="Quarterly",((DATE(YEAR(J$5),MONTH(J$5),MIN(DAY($F34),DAY(EOMONTH(J$5,0))))&gt;=MAX(J$5,$F34))*(DATE(YEAR(J$5),MONTH(J$5),MIN(DAY($F34),DAY(EOMONTH(J$5,0))))&lt;=J$6)*(MOD((YEAR(J$5)-YEAR($F34))*12+MONTH(J$5)-MONTH($F34),3)=0)+(MONTH(J$6)&lt;&gt;MONTH(J$5))*(DATE(YEAR(J$6),MONTH(J$6),MIN(DAY($F34),DAY(EOMONTH(J$6,0))))&gt;=$F34)*(DATE(YEAR(J$6),MONTH(J$6),MIN(DAY($F34),DAY(EOMONTH(J$6,0))))&gt;=J$5)*(DATE(YEAR(J$6),MONTH(J$6),MIN(DAY($F34),DAY(EOMONTH(J$6,0))))&lt;=J$6)*(MOD((YEAR(J$6)-YEAR($F34))*12+MONTH(J$6)-MONTH($F34),3)=0)),IF($D34="One-off",($F34&gt;=J$5)*($F34&lt;=J$6),0))))))</f>
        <v>0</v>
      </c>
      <c r="K34" s="19">
        <f>IF(OR($E34="",$F34="",$D34=""),0,IF(OR($C34="Loan and finance repayments",$C34="VAT and taxes",$C34="Capital expenditure",$C34="Licences and regulatory fees"),1,1+CostAdj)*$E34*IF($D34="Weekly",(MAX(0,INT((K$6-$F34)/7)+1)-MAX(0,INT((K$5-1-$F34)/7)+1)),IF($D34="Fortnightly",(MAX(0,INT((K$6-$F34)/14)+1)-MAX(0,INT((K$5-1-$F34)/14)+1)),IF($D34="Monthly",((DATE(YEAR(K$5),MONTH(K$5),MIN(DAY($F34),DAY(EOMONTH(K$5,0))))&gt;=MAX(K$5,$F34))*(DATE(YEAR(K$5),MONTH(K$5),MIN(DAY($F34),DAY(EOMONTH(K$5,0))))&lt;=K$6)*(MOD((YEAR(K$5)-YEAR($F34))*12+MONTH(K$5)-MONTH($F34),1)=0)+(MONTH(K$6)&lt;&gt;MONTH(K$5))*(DATE(YEAR(K$6),MONTH(K$6),MIN(DAY($F34),DAY(EOMONTH(K$6,0))))&gt;=$F34)*(DATE(YEAR(K$6),MONTH(K$6),MIN(DAY($F34),DAY(EOMONTH(K$6,0))))&gt;=K$5)*(DATE(YEAR(K$6),MONTH(K$6),MIN(DAY($F34),DAY(EOMONTH(K$6,0))))&lt;=K$6)*(MOD((YEAR(K$6)-YEAR($F34))*12+MONTH(K$6)-MONTH($F34),1)=0)),IF($D34="Quarterly",((DATE(YEAR(K$5),MONTH(K$5),MIN(DAY($F34),DAY(EOMONTH(K$5,0))))&gt;=MAX(K$5,$F34))*(DATE(YEAR(K$5),MONTH(K$5),MIN(DAY($F34),DAY(EOMONTH(K$5,0))))&lt;=K$6)*(MOD((YEAR(K$5)-YEAR($F34))*12+MONTH(K$5)-MONTH($F34),3)=0)+(MONTH(K$6)&lt;&gt;MONTH(K$5))*(DATE(YEAR(K$6),MONTH(K$6),MIN(DAY($F34),DAY(EOMONTH(K$6,0))))&gt;=$F34)*(DATE(YEAR(K$6),MONTH(K$6),MIN(DAY($F34),DAY(EOMONTH(K$6,0))))&gt;=K$5)*(DATE(YEAR(K$6),MONTH(K$6),MIN(DAY($F34),DAY(EOMONTH(K$6,0))))&lt;=K$6)*(MOD((YEAR(K$6)-YEAR($F34))*12+MONTH(K$6)-MONTH($F34),3)=0)),IF($D34="One-off",($F34&gt;=K$5)*($F34&lt;=K$6),0))))))</f>
        <v>0</v>
      </c>
      <c r="L34" s="19">
        <f>IF(OR($E34="",$F34="",$D34=""),0,IF(OR($C34="Loan and finance repayments",$C34="VAT and taxes",$C34="Capital expenditure",$C34="Licences and regulatory fees"),1,1+CostAdj)*$E34*IF($D34="Weekly",(MAX(0,INT((L$6-$F34)/7)+1)-MAX(0,INT((L$5-1-$F34)/7)+1)),IF($D34="Fortnightly",(MAX(0,INT((L$6-$F34)/14)+1)-MAX(0,INT((L$5-1-$F34)/14)+1)),IF($D34="Monthly",((DATE(YEAR(L$5),MONTH(L$5),MIN(DAY($F34),DAY(EOMONTH(L$5,0))))&gt;=MAX(L$5,$F34))*(DATE(YEAR(L$5),MONTH(L$5),MIN(DAY($F34),DAY(EOMONTH(L$5,0))))&lt;=L$6)*(MOD((YEAR(L$5)-YEAR($F34))*12+MONTH(L$5)-MONTH($F34),1)=0)+(MONTH(L$6)&lt;&gt;MONTH(L$5))*(DATE(YEAR(L$6),MONTH(L$6),MIN(DAY($F34),DAY(EOMONTH(L$6,0))))&gt;=$F34)*(DATE(YEAR(L$6),MONTH(L$6),MIN(DAY($F34),DAY(EOMONTH(L$6,0))))&gt;=L$5)*(DATE(YEAR(L$6),MONTH(L$6),MIN(DAY($F34),DAY(EOMONTH(L$6,0))))&lt;=L$6)*(MOD((YEAR(L$6)-YEAR($F34))*12+MONTH(L$6)-MONTH($F34),1)=0)),IF($D34="Quarterly",((DATE(YEAR(L$5),MONTH(L$5),MIN(DAY($F34),DAY(EOMONTH(L$5,0))))&gt;=MAX(L$5,$F34))*(DATE(YEAR(L$5),MONTH(L$5),MIN(DAY($F34),DAY(EOMONTH(L$5,0))))&lt;=L$6)*(MOD((YEAR(L$5)-YEAR($F34))*12+MONTH(L$5)-MONTH($F34),3)=0)+(MONTH(L$6)&lt;&gt;MONTH(L$5))*(DATE(YEAR(L$6),MONTH(L$6),MIN(DAY($F34),DAY(EOMONTH(L$6,0))))&gt;=$F34)*(DATE(YEAR(L$6),MONTH(L$6),MIN(DAY($F34),DAY(EOMONTH(L$6,0))))&gt;=L$5)*(DATE(YEAR(L$6),MONTH(L$6),MIN(DAY($F34),DAY(EOMONTH(L$6,0))))&lt;=L$6)*(MOD((YEAR(L$6)-YEAR($F34))*12+MONTH(L$6)-MONTH($F34),3)=0)),IF($D34="One-off",($F34&gt;=L$5)*($F34&lt;=L$6),0))))))</f>
        <v>0</v>
      </c>
      <c r="M34" s="19">
        <f>IF(OR($E34="",$F34="",$D34=""),0,IF(OR($C34="Loan and finance repayments",$C34="VAT and taxes",$C34="Capital expenditure",$C34="Licences and regulatory fees"),1,1+CostAdj)*$E34*IF($D34="Weekly",(MAX(0,INT((M$6-$F34)/7)+1)-MAX(0,INT((M$5-1-$F34)/7)+1)),IF($D34="Fortnightly",(MAX(0,INT((M$6-$F34)/14)+1)-MAX(0,INT((M$5-1-$F34)/14)+1)),IF($D34="Monthly",((DATE(YEAR(M$5),MONTH(M$5),MIN(DAY($F34),DAY(EOMONTH(M$5,0))))&gt;=MAX(M$5,$F34))*(DATE(YEAR(M$5),MONTH(M$5),MIN(DAY($F34),DAY(EOMONTH(M$5,0))))&lt;=M$6)*(MOD((YEAR(M$5)-YEAR($F34))*12+MONTH(M$5)-MONTH($F34),1)=0)+(MONTH(M$6)&lt;&gt;MONTH(M$5))*(DATE(YEAR(M$6),MONTH(M$6),MIN(DAY($F34),DAY(EOMONTH(M$6,0))))&gt;=$F34)*(DATE(YEAR(M$6),MONTH(M$6),MIN(DAY($F34),DAY(EOMONTH(M$6,0))))&gt;=M$5)*(DATE(YEAR(M$6),MONTH(M$6),MIN(DAY($F34),DAY(EOMONTH(M$6,0))))&lt;=M$6)*(MOD((YEAR(M$6)-YEAR($F34))*12+MONTH(M$6)-MONTH($F34),1)=0)),IF($D34="Quarterly",((DATE(YEAR(M$5),MONTH(M$5),MIN(DAY($F34),DAY(EOMONTH(M$5,0))))&gt;=MAX(M$5,$F34))*(DATE(YEAR(M$5),MONTH(M$5),MIN(DAY($F34),DAY(EOMONTH(M$5,0))))&lt;=M$6)*(MOD((YEAR(M$5)-YEAR($F34))*12+MONTH(M$5)-MONTH($F34),3)=0)+(MONTH(M$6)&lt;&gt;MONTH(M$5))*(DATE(YEAR(M$6),MONTH(M$6),MIN(DAY($F34),DAY(EOMONTH(M$6,0))))&gt;=$F34)*(DATE(YEAR(M$6),MONTH(M$6),MIN(DAY($F34),DAY(EOMONTH(M$6,0))))&gt;=M$5)*(DATE(YEAR(M$6),MONTH(M$6),MIN(DAY($F34),DAY(EOMONTH(M$6,0))))&lt;=M$6)*(MOD((YEAR(M$6)-YEAR($F34))*12+MONTH(M$6)-MONTH($F34),3)=0)),IF($D34="One-off",($F34&gt;=M$5)*($F34&lt;=M$6),0))))))</f>
        <v>0</v>
      </c>
      <c r="N34" s="19">
        <f>IF(OR($E34="",$F34="",$D34=""),0,IF(OR($C34="Loan and finance repayments",$C34="VAT and taxes",$C34="Capital expenditure",$C34="Licences and regulatory fees"),1,1+CostAdj)*$E34*IF($D34="Weekly",(MAX(0,INT((N$6-$F34)/7)+1)-MAX(0,INT((N$5-1-$F34)/7)+1)),IF($D34="Fortnightly",(MAX(0,INT((N$6-$F34)/14)+1)-MAX(0,INT((N$5-1-$F34)/14)+1)),IF($D34="Monthly",((DATE(YEAR(N$5),MONTH(N$5),MIN(DAY($F34),DAY(EOMONTH(N$5,0))))&gt;=MAX(N$5,$F34))*(DATE(YEAR(N$5),MONTH(N$5),MIN(DAY($F34),DAY(EOMONTH(N$5,0))))&lt;=N$6)*(MOD((YEAR(N$5)-YEAR($F34))*12+MONTH(N$5)-MONTH($F34),1)=0)+(MONTH(N$6)&lt;&gt;MONTH(N$5))*(DATE(YEAR(N$6),MONTH(N$6),MIN(DAY($F34),DAY(EOMONTH(N$6,0))))&gt;=$F34)*(DATE(YEAR(N$6),MONTH(N$6),MIN(DAY($F34),DAY(EOMONTH(N$6,0))))&gt;=N$5)*(DATE(YEAR(N$6),MONTH(N$6),MIN(DAY($F34),DAY(EOMONTH(N$6,0))))&lt;=N$6)*(MOD((YEAR(N$6)-YEAR($F34))*12+MONTH(N$6)-MONTH($F34),1)=0)),IF($D34="Quarterly",((DATE(YEAR(N$5),MONTH(N$5),MIN(DAY($F34),DAY(EOMONTH(N$5,0))))&gt;=MAX(N$5,$F34))*(DATE(YEAR(N$5),MONTH(N$5),MIN(DAY($F34),DAY(EOMONTH(N$5,0))))&lt;=N$6)*(MOD((YEAR(N$5)-YEAR($F34))*12+MONTH(N$5)-MONTH($F34),3)=0)+(MONTH(N$6)&lt;&gt;MONTH(N$5))*(DATE(YEAR(N$6),MONTH(N$6),MIN(DAY($F34),DAY(EOMONTH(N$6,0))))&gt;=$F34)*(DATE(YEAR(N$6),MONTH(N$6),MIN(DAY($F34),DAY(EOMONTH(N$6,0))))&gt;=N$5)*(DATE(YEAR(N$6),MONTH(N$6),MIN(DAY($F34),DAY(EOMONTH(N$6,0))))&lt;=N$6)*(MOD((YEAR(N$6)-YEAR($F34))*12+MONTH(N$6)-MONTH($F34),3)=0)),IF($D34="One-off",($F34&gt;=N$5)*($F34&lt;=N$6),0))))))</f>
        <v>0</v>
      </c>
      <c r="O34" s="19">
        <f>IF(OR($E34="",$F34="",$D34=""),0,IF(OR($C34="Loan and finance repayments",$C34="VAT and taxes",$C34="Capital expenditure",$C34="Licences and regulatory fees"),1,1+CostAdj)*$E34*IF($D34="Weekly",(MAX(0,INT((O$6-$F34)/7)+1)-MAX(0,INT((O$5-1-$F34)/7)+1)),IF($D34="Fortnightly",(MAX(0,INT((O$6-$F34)/14)+1)-MAX(0,INT((O$5-1-$F34)/14)+1)),IF($D34="Monthly",((DATE(YEAR(O$5),MONTH(O$5),MIN(DAY($F34),DAY(EOMONTH(O$5,0))))&gt;=MAX(O$5,$F34))*(DATE(YEAR(O$5),MONTH(O$5),MIN(DAY($F34),DAY(EOMONTH(O$5,0))))&lt;=O$6)*(MOD((YEAR(O$5)-YEAR($F34))*12+MONTH(O$5)-MONTH($F34),1)=0)+(MONTH(O$6)&lt;&gt;MONTH(O$5))*(DATE(YEAR(O$6),MONTH(O$6),MIN(DAY($F34),DAY(EOMONTH(O$6,0))))&gt;=$F34)*(DATE(YEAR(O$6),MONTH(O$6),MIN(DAY($F34),DAY(EOMONTH(O$6,0))))&gt;=O$5)*(DATE(YEAR(O$6),MONTH(O$6),MIN(DAY($F34),DAY(EOMONTH(O$6,0))))&lt;=O$6)*(MOD((YEAR(O$6)-YEAR($F34))*12+MONTH(O$6)-MONTH($F34),1)=0)),IF($D34="Quarterly",((DATE(YEAR(O$5),MONTH(O$5),MIN(DAY($F34),DAY(EOMONTH(O$5,0))))&gt;=MAX(O$5,$F34))*(DATE(YEAR(O$5),MONTH(O$5),MIN(DAY($F34),DAY(EOMONTH(O$5,0))))&lt;=O$6)*(MOD((YEAR(O$5)-YEAR($F34))*12+MONTH(O$5)-MONTH($F34),3)=0)+(MONTH(O$6)&lt;&gt;MONTH(O$5))*(DATE(YEAR(O$6),MONTH(O$6),MIN(DAY($F34),DAY(EOMONTH(O$6,0))))&gt;=$F34)*(DATE(YEAR(O$6),MONTH(O$6),MIN(DAY($F34),DAY(EOMONTH(O$6,0))))&gt;=O$5)*(DATE(YEAR(O$6),MONTH(O$6),MIN(DAY($F34),DAY(EOMONTH(O$6,0))))&lt;=O$6)*(MOD((YEAR(O$6)-YEAR($F34))*12+MONTH(O$6)-MONTH($F34),3)=0)),IF($D34="One-off",($F34&gt;=O$5)*($F34&lt;=O$6),0))))))</f>
        <v>0</v>
      </c>
      <c r="P34" s="19">
        <f>IF(OR($E34="",$F34="",$D34=""),0,IF(OR($C34="Loan and finance repayments",$C34="VAT and taxes",$C34="Capital expenditure",$C34="Licences and regulatory fees"),1,1+CostAdj)*$E34*IF($D34="Weekly",(MAX(0,INT((P$6-$F34)/7)+1)-MAX(0,INT((P$5-1-$F34)/7)+1)),IF($D34="Fortnightly",(MAX(0,INT((P$6-$F34)/14)+1)-MAX(0,INT((P$5-1-$F34)/14)+1)),IF($D34="Monthly",((DATE(YEAR(P$5),MONTH(P$5),MIN(DAY($F34),DAY(EOMONTH(P$5,0))))&gt;=MAX(P$5,$F34))*(DATE(YEAR(P$5),MONTH(P$5),MIN(DAY($F34),DAY(EOMONTH(P$5,0))))&lt;=P$6)*(MOD((YEAR(P$5)-YEAR($F34))*12+MONTH(P$5)-MONTH($F34),1)=0)+(MONTH(P$6)&lt;&gt;MONTH(P$5))*(DATE(YEAR(P$6),MONTH(P$6),MIN(DAY($F34),DAY(EOMONTH(P$6,0))))&gt;=$F34)*(DATE(YEAR(P$6),MONTH(P$6),MIN(DAY($F34),DAY(EOMONTH(P$6,0))))&gt;=P$5)*(DATE(YEAR(P$6),MONTH(P$6),MIN(DAY($F34),DAY(EOMONTH(P$6,0))))&lt;=P$6)*(MOD((YEAR(P$6)-YEAR($F34))*12+MONTH(P$6)-MONTH($F34),1)=0)),IF($D34="Quarterly",((DATE(YEAR(P$5),MONTH(P$5),MIN(DAY($F34),DAY(EOMONTH(P$5,0))))&gt;=MAX(P$5,$F34))*(DATE(YEAR(P$5),MONTH(P$5),MIN(DAY($F34),DAY(EOMONTH(P$5,0))))&lt;=P$6)*(MOD((YEAR(P$5)-YEAR($F34))*12+MONTH(P$5)-MONTH($F34),3)=0)+(MONTH(P$6)&lt;&gt;MONTH(P$5))*(DATE(YEAR(P$6),MONTH(P$6),MIN(DAY($F34),DAY(EOMONTH(P$6,0))))&gt;=$F34)*(DATE(YEAR(P$6),MONTH(P$6),MIN(DAY($F34),DAY(EOMONTH(P$6,0))))&gt;=P$5)*(DATE(YEAR(P$6),MONTH(P$6),MIN(DAY($F34),DAY(EOMONTH(P$6,0))))&lt;=P$6)*(MOD((YEAR(P$6)-YEAR($F34))*12+MONTH(P$6)-MONTH($F34),3)=0)),IF($D34="One-off",($F34&gt;=P$5)*($F34&lt;=P$6),0))))))</f>
        <v>0</v>
      </c>
      <c r="Q34" s="19">
        <f>IF(OR($E34="",$F34="",$D34=""),0,IF(OR($C34="Loan and finance repayments",$C34="VAT and taxes",$C34="Capital expenditure",$C34="Licences and regulatory fees"),1,1+CostAdj)*$E34*IF($D34="Weekly",(MAX(0,INT((Q$6-$F34)/7)+1)-MAX(0,INT((Q$5-1-$F34)/7)+1)),IF($D34="Fortnightly",(MAX(0,INT((Q$6-$F34)/14)+1)-MAX(0,INT((Q$5-1-$F34)/14)+1)),IF($D34="Monthly",((DATE(YEAR(Q$5),MONTH(Q$5),MIN(DAY($F34),DAY(EOMONTH(Q$5,0))))&gt;=MAX(Q$5,$F34))*(DATE(YEAR(Q$5),MONTH(Q$5),MIN(DAY($F34),DAY(EOMONTH(Q$5,0))))&lt;=Q$6)*(MOD((YEAR(Q$5)-YEAR($F34))*12+MONTH(Q$5)-MONTH($F34),1)=0)+(MONTH(Q$6)&lt;&gt;MONTH(Q$5))*(DATE(YEAR(Q$6),MONTH(Q$6),MIN(DAY($F34),DAY(EOMONTH(Q$6,0))))&gt;=$F34)*(DATE(YEAR(Q$6),MONTH(Q$6),MIN(DAY($F34),DAY(EOMONTH(Q$6,0))))&gt;=Q$5)*(DATE(YEAR(Q$6),MONTH(Q$6),MIN(DAY($F34),DAY(EOMONTH(Q$6,0))))&lt;=Q$6)*(MOD((YEAR(Q$6)-YEAR($F34))*12+MONTH(Q$6)-MONTH($F34),1)=0)),IF($D34="Quarterly",((DATE(YEAR(Q$5),MONTH(Q$5),MIN(DAY($F34),DAY(EOMONTH(Q$5,0))))&gt;=MAX(Q$5,$F34))*(DATE(YEAR(Q$5),MONTH(Q$5),MIN(DAY($F34),DAY(EOMONTH(Q$5,0))))&lt;=Q$6)*(MOD((YEAR(Q$5)-YEAR($F34))*12+MONTH(Q$5)-MONTH($F34),3)=0)+(MONTH(Q$6)&lt;&gt;MONTH(Q$5))*(DATE(YEAR(Q$6),MONTH(Q$6),MIN(DAY($F34),DAY(EOMONTH(Q$6,0))))&gt;=$F34)*(DATE(YEAR(Q$6),MONTH(Q$6),MIN(DAY($F34),DAY(EOMONTH(Q$6,0))))&gt;=Q$5)*(DATE(YEAR(Q$6),MONTH(Q$6),MIN(DAY($F34),DAY(EOMONTH(Q$6,0))))&lt;=Q$6)*(MOD((YEAR(Q$6)-YEAR($F34))*12+MONTH(Q$6)-MONTH($F34),3)=0)),IF($D34="One-off",($F34&gt;=Q$5)*($F34&lt;=Q$6),0))))))</f>
        <v>0</v>
      </c>
      <c r="R34" s="19">
        <f>IF(OR($E34="",$F34="",$D34=""),0,IF(OR($C34="Loan and finance repayments",$C34="VAT and taxes",$C34="Capital expenditure",$C34="Licences and regulatory fees"),1,1+CostAdj)*$E34*IF($D34="Weekly",(MAX(0,INT((R$6-$F34)/7)+1)-MAX(0,INT((R$5-1-$F34)/7)+1)),IF($D34="Fortnightly",(MAX(0,INT((R$6-$F34)/14)+1)-MAX(0,INT((R$5-1-$F34)/14)+1)),IF($D34="Monthly",((DATE(YEAR(R$5),MONTH(R$5),MIN(DAY($F34),DAY(EOMONTH(R$5,0))))&gt;=MAX(R$5,$F34))*(DATE(YEAR(R$5),MONTH(R$5),MIN(DAY($F34),DAY(EOMONTH(R$5,0))))&lt;=R$6)*(MOD((YEAR(R$5)-YEAR($F34))*12+MONTH(R$5)-MONTH($F34),1)=0)+(MONTH(R$6)&lt;&gt;MONTH(R$5))*(DATE(YEAR(R$6),MONTH(R$6),MIN(DAY($F34),DAY(EOMONTH(R$6,0))))&gt;=$F34)*(DATE(YEAR(R$6),MONTH(R$6),MIN(DAY($F34),DAY(EOMONTH(R$6,0))))&gt;=R$5)*(DATE(YEAR(R$6),MONTH(R$6),MIN(DAY($F34),DAY(EOMONTH(R$6,0))))&lt;=R$6)*(MOD((YEAR(R$6)-YEAR($F34))*12+MONTH(R$6)-MONTH($F34),1)=0)),IF($D34="Quarterly",((DATE(YEAR(R$5),MONTH(R$5),MIN(DAY($F34),DAY(EOMONTH(R$5,0))))&gt;=MAX(R$5,$F34))*(DATE(YEAR(R$5),MONTH(R$5),MIN(DAY($F34),DAY(EOMONTH(R$5,0))))&lt;=R$6)*(MOD((YEAR(R$5)-YEAR($F34))*12+MONTH(R$5)-MONTH($F34),3)=0)+(MONTH(R$6)&lt;&gt;MONTH(R$5))*(DATE(YEAR(R$6),MONTH(R$6),MIN(DAY($F34),DAY(EOMONTH(R$6,0))))&gt;=$F34)*(DATE(YEAR(R$6),MONTH(R$6),MIN(DAY($F34),DAY(EOMONTH(R$6,0))))&gt;=R$5)*(DATE(YEAR(R$6),MONTH(R$6),MIN(DAY($F34),DAY(EOMONTH(R$6,0))))&lt;=R$6)*(MOD((YEAR(R$6)-YEAR($F34))*12+MONTH(R$6)-MONTH($F34),3)=0)),IF($D34="One-off",($F34&gt;=R$5)*($F34&lt;=R$6),0))))))</f>
        <v>0</v>
      </c>
      <c r="S34" s="19">
        <f>IF(OR($E34="",$F34="",$D34=""),0,IF(OR($C34="Loan and finance repayments",$C34="VAT and taxes",$C34="Capital expenditure",$C34="Licences and regulatory fees"),1,1+CostAdj)*$E34*IF($D34="Weekly",(MAX(0,INT((S$6-$F34)/7)+1)-MAX(0,INT((S$5-1-$F34)/7)+1)),IF($D34="Fortnightly",(MAX(0,INT((S$6-$F34)/14)+1)-MAX(0,INT((S$5-1-$F34)/14)+1)),IF($D34="Monthly",((DATE(YEAR(S$5),MONTH(S$5),MIN(DAY($F34),DAY(EOMONTH(S$5,0))))&gt;=MAX(S$5,$F34))*(DATE(YEAR(S$5),MONTH(S$5),MIN(DAY($F34),DAY(EOMONTH(S$5,0))))&lt;=S$6)*(MOD((YEAR(S$5)-YEAR($F34))*12+MONTH(S$5)-MONTH($F34),1)=0)+(MONTH(S$6)&lt;&gt;MONTH(S$5))*(DATE(YEAR(S$6),MONTH(S$6),MIN(DAY($F34),DAY(EOMONTH(S$6,0))))&gt;=$F34)*(DATE(YEAR(S$6),MONTH(S$6),MIN(DAY($F34),DAY(EOMONTH(S$6,0))))&gt;=S$5)*(DATE(YEAR(S$6),MONTH(S$6),MIN(DAY($F34),DAY(EOMONTH(S$6,0))))&lt;=S$6)*(MOD((YEAR(S$6)-YEAR($F34))*12+MONTH(S$6)-MONTH($F34),1)=0)),IF($D34="Quarterly",((DATE(YEAR(S$5),MONTH(S$5),MIN(DAY($F34),DAY(EOMONTH(S$5,0))))&gt;=MAX(S$5,$F34))*(DATE(YEAR(S$5),MONTH(S$5),MIN(DAY($F34),DAY(EOMONTH(S$5,0))))&lt;=S$6)*(MOD((YEAR(S$5)-YEAR($F34))*12+MONTH(S$5)-MONTH($F34),3)=0)+(MONTH(S$6)&lt;&gt;MONTH(S$5))*(DATE(YEAR(S$6),MONTH(S$6),MIN(DAY($F34),DAY(EOMONTH(S$6,0))))&gt;=$F34)*(DATE(YEAR(S$6),MONTH(S$6),MIN(DAY($F34),DAY(EOMONTH(S$6,0))))&gt;=S$5)*(DATE(YEAR(S$6),MONTH(S$6),MIN(DAY($F34),DAY(EOMONTH(S$6,0))))&lt;=S$6)*(MOD((YEAR(S$6)-YEAR($F34))*12+MONTH(S$6)-MONTH($F34),3)=0)),IF($D34="One-off",($F34&gt;=S$5)*($F34&lt;=S$6),0))))))</f>
        <v>0</v>
      </c>
      <c r="T34" s="19">
        <f>IF(OR($E34="",$F34="",$D34=""),0,IF(OR($C34="Loan and finance repayments",$C34="VAT and taxes",$C34="Capital expenditure",$C34="Licences and regulatory fees"),1,1+CostAdj)*$E34*IF($D34="Weekly",(MAX(0,INT((T$6-$F34)/7)+1)-MAX(0,INT((T$5-1-$F34)/7)+1)),IF($D34="Fortnightly",(MAX(0,INT((T$6-$F34)/14)+1)-MAX(0,INT((T$5-1-$F34)/14)+1)),IF($D34="Monthly",((DATE(YEAR(T$5),MONTH(T$5),MIN(DAY($F34),DAY(EOMONTH(T$5,0))))&gt;=MAX(T$5,$F34))*(DATE(YEAR(T$5),MONTH(T$5),MIN(DAY($F34),DAY(EOMONTH(T$5,0))))&lt;=T$6)*(MOD((YEAR(T$5)-YEAR($F34))*12+MONTH(T$5)-MONTH($F34),1)=0)+(MONTH(T$6)&lt;&gt;MONTH(T$5))*(DATE(YEAR(T$6),MONTH(T$6),MIN(DAY($F34),DAY(EOMONTH(T$6,0))))&gt;=$F34)*(DATE(YEAR(T$6),MONTH(T$6),MIN(DAY($F34),DAY(EOMONTH(T$6,0))))&gt;=T$5)*(DATE(YEAR(T$6),MONTH(T$6),MIN(DAY($F34),DAY(EOMONTH(T$6,0))))&lt;=T$6)*(MOD((YEAR(T$6)-YEAR($F34))*12+MONTH(T$6)-MONTH($F34),1)=0)),IF($D34="Quarterly",((DATE(YEAR(T$5),MONTH(T$5),MIN(DAY($F34),DAY(EOMONTH(T$5,0))))&gt;=MAX(T$5,$F34))*(DATE(YEAR(T$5),MONTH(T$5),MIN(DAY($F34),DAY(EOMONTH(T$5,0))))&lt;=T$6)*(MOD((YEAR(T$5)-YEAR($F34))*12+MONTH(T$5)-MONTH($F34),3)=0)+(MONTH(T$6)&lt;&gt;MONTH(T$5))*(DATE(YEAR(T$6),MONTH(T$6),MIN(DAY($F34),DAY(EOMONTH(T$6,0))))&gt;=$F34)*(DATE(YEAR(T$6),MONTH(T$6),MIN(DAY($F34),DAY(EOMONTH(T$6,0))))&gt;=T$5)*(DATE(YEAR(T$6),MONTH(T$6),MIN(DAY($F34),DAY(EOMONTH(T$6,0))))&lt;=T$6)*(MOD((YEAR(T$6)-YEAR($F34))*12+MONTH(T$6)-MONTH($F34),3)=0)),IF($D34="One-off",($F34&gt;=T$5)*($F34&lt;=T$6),0))))))</f>
        <v>0</v>
      </c>
      <c r="U34" s="36">
        <f>SUM(H34:T34)</f>
        <v>0</v>
      </c>
    </row>
    <row r="35" spans="1:21">
      <c r="A35" s="42">
        <v>27</v>
      </c>
      <c r="B35" s="7"/>
      <c r="C35" s="7"/>
      <c r="D35" s="7"/>
      <c r="E35" s="18"/>
      <c r="F35" s="17"/>
      <c r="G35" s="7"/>
      <c r="H35" s="19">
        <f>IF(OR($E35="",$F35="",$D35=""),0,IF(OR($C35="Loan and finance repayments",$C35="VAT and taxes",$C35="Capital expenditure",$C35="Licences and regulatory fees"),1,1+CostAdj)*$E35*IF($D35="Weekly",(MAX(0,INT((H$6-$F35)/7)+1)-MAX(0,INT((H$5-1-$F35)/7)+1)),IF($D35="Fortnightly",(MAX(0,INT((H$6-$F35)/14)+1)-MAX(0,INT((H$5-1-$F35)/14)+1)),IF($D35="Monthly",((DATE(YEAR(H$5),MONTH(H$5),MIN(DAY($F35),DAY(EOMONTH(H$5,0))))&gt;=MAX(H$5,$F35))*(DATE(YEAR(H$5),MONTH(H$5),MIN(DAY($F35),DAY(EOMONTH(H$5,0))))&lt;=H$6)*(MOD((YEAR(H$5)-YEAR($F35))*12+MONTH(H$5)-MONTH($F35),1)=0)+(MONTH(H$6)&lt;&gt;MONTH(H$5))*(DATE(YEAR(H$6),MONTH(H$6),MIN(DAY($F35),DAY(EOMONTH(H$6,0))))&gt;=$F35)*(DATE(YEAR(H$6),MONTH(H$6),MIN(DAY($F35),DAY(EOMONTH(H$6,0))))&gt;=H$5)*(DATE(YEAR(H$6),MONTH(H$6),MIN(DAY($F35),DAY(EOMONTH(H$6,0))))&lt;=H$6)*(MOD((YEAR(H$6)-YEAR($F35))*12+MONTH(H$6)-MONTH($F35),1)=0)),IF($D35="Quarterly",((DATE(YEAR(H$5),MONTH(H$5),MIN(DAY($F35),DAY(EOMONTH(H$5,0))))&gt;=MAX(H$5,$F35))*(DATE(YEAR(H$5),MONTH(H$5),MIN(DAY($F35),DAY(EOMONTH(H$5,0))))&lt;=H$6)*(MOD((YEAR(H$5)-YEAR($F35))*12+MONTH(H$5)-MONTH($F35),3)=0)+(MONTH(H$6)&lt;&gt;MONTH(H$5))*(DATE(YEAR(H$6),MONTH(H$6),MIN(DAY($F35),DAY(EOMONTH(H$6,0))))&gt;=$F35)*(DATE(YEAR(H$6),MONTH(H$6),MIN(DAY($F35),DAY(EOMONTH(H$6,0))))&gt;=H$5)*(DATE(YEAR(H$6),MONTH(H$6),MIN(DAY($F35),DAY(EOMONTH(H$6,0))))&lt;=H$6)*(MOD((YEAR(H$6)-YEAR($F35))*12+MONTH(H$6)-MONTH($F35),3)=0)),IF($D35="One-off",($F35&gt;=H$5)*($F35&lt;=H$6),0))))))</f>
        <v>0</v>
      </c>
      <c r="I35" s="19">
        <f>IF(OR($E35="",$F35="",$D35=""),0,IF(OR($C35="Loan and finance repayments",$C35="VAT and taxes",$C35="Capital expenditure",$C35="Licences and regulatory fees"),1,1+CostAdj)*$E35*IF($D35="Weekly",(MAX(0,INT((I$6-$F35)/7)+1)-MAX(0,INT((I$5-1-$F35)/7)+1)),IF($D35="Fortnightly",(MAX(0,INT((I$6-$F35)/14)+1)-MAX(0,INT((I$5-1-$F35)/14)+1)),IF($D35="Monthly",((DATE(YEAR(I$5),MONTH(I$5),MIN(DAY($F35),DAY(EOMONTH(I$5,0))))&gt;=MAX(I$5,$F35))*(DATE(YEAR(I$5),MONTH(I$5),MIN(DAY($F35),DAY(EOMONTH(I$5,0))))&lt;=I$6)*(MOD((YEAR(I$5)-YEAR($F35))*12+MONTH(I$5)-MONTH($F35),1)=0)+(MONTH(I$6)&lt;&gt;MONTH(I$5))*(DATE(YEAR(I$6),MONTH(I$6),MIN(DAY($F35),DAY(EOMONTH(I$6,0))))&gt;=$F35)*(DATE(YEAR(I$6),MONTH(I$6),MIN(DAY($F35),DAY(EOMONTH(I$6,0))))&gt;=I$5)*(DATE(YEAR(I$6),MONTH(I$6),MIN(DAY($F35),DAY(EOMONTH(I$6,0))))&lt;=I$6)*(MOD((YEAR(I$6)-YEAR($F35))*12+MONTH(I$6)-MONTH($F35),1)=0)),IF($D35="Quarterly",((DATE(YEAR(I$5),MONTH(I$5),MIN(DAY($F35),DAY(EOMONTH(I$5,0))))&gt;=MAX(I$5,$F35))*(DATE(YEAR(I$5),MONTH(I$5),MIN(DAY($F35),DAY(EOMONTH(I$5,0))))&lt;=I$6)*(MOD((YEAR(I$5)-YEAR($F35))*12+MONTH(I$5)-MONTH($F35),3)=0)+(MONTH(I$6)&lt;&gt;MONTH(I$5))*(DATE(YEAR(I$6),MONTH(I$6),MIN(DAY($F35),DAY(EOMONTH(I$6,0))))&gt;=$F35)*(DATE(YEAR(I$6),MONTH(I$6),MIN(DAY($F35),DAY(EOMONTH(I$6,0))))&gt;=I$5)*(DATE(YEAR(I$6),MONTH(I$6),MIN(DAY($F35),DAY(EOMONTH(I$6,0))))&lt;=I$6)*(MOD((YEAR(I$6)-YEAR($F35))*12+MONTH(I$6)-MONTH($F35),3)=0)),IF($D35="One-off",($F35&gt;=I$5)*($F35&lt;=I$6),0))))))</f>
        <v>0</v>
      </c>
      <c r="J35" s="19">
        <f>IF(OR($E35="",$F35="",$D35=""),0,IF(OR($C35="Loan and finance repayments",$C35="VAT and taxes",$C35="Capital expenditure",$C35="Licences and regulatory fees"),1,1+CostAdj)*$E35*IF($D35="Weekly",(MAX(0,INT((J$6-$F35)/7)+1)-MAX(0,INT((J$5-1-$F35)/7)+1)),IF($D35="Fortnightly",(MAX(0,INT((J$6-$F35)/14)+1)-MAX(0,INT((J$5-1-$F35)/14)+1)),IF($D35="Monthly",((DATE(YEAR(J$5),MONTH(J$5),MIN(DAY($F35),DAY(EOMONTH(J$5,0))))&gt;=MAX(J$5,$F35))*(DATE(YEAR(J$5),MONTH(J$5),MIN(DAY($F35),DAY(EOMONTH(J$5,0))))&lt;=J$6)*(MOD((YEAR(J$5)-YEAR($F35))*12+MONTH(J$5)-MONTH($F35),1)=0)+(MONTH(J$6)&lt;&gt;MONTH(J$5))*(DATE(YEAR(J$6),MONTH(J$6),MIN(DAY($F35),DAY(EOMONTH(J$6,0))))&gt;=$F35)*(DATE(YEAR(J$6),MONTH(J$6),MIN(DAY($F35),DAY(EOMONTH(J$6,0))))&gt;=J$5)*(DATE(YEAR(J$6),MONTH(J$6),MIN(DAY($F35),DAY(EOMONTH(J$6,0))))&lt;=J$6)*(MOD((YEAR(J$6)-YEAR($F35))*12+MONTH(J$6)-MONTH($F35),1)=0)),IF($D35="Quarterly",((DATE(YEAR(J$5),MONTH(J$5),MIN(DAY($F35),DAY(EOMONTH(J$5,0))))&gt;=MAX(J$5,$F35))*(DATE(YEAR(J$5),MONTH(J$5),MIN(DAY($F35),DAY(EOMONTH(J$5,0))))&lt;=J$6)*(MOD((YEAR(J$5)-YEAR($F35))*12+MONTH(J$5)-MONTH($F35),3)=0)+(MONTH(J$6)&lt;&gt;MONTH(J$5))*(DATE(YEAR(J$6),MONTH(J$6),MIN(DAY($F35),DAY(EOMONTH(J$6,0))))&gt;=$F35)*(DATE(YEAR(J$6),MONTH(J$6),MIN(DAY($F35),DAY(EOMONTH(J$6,0))))&gt;=J$5)*(DATE(YEAR(J$6),MONTH(J$6),MIN(DAY($F35),DAY(EOMONTH(J$6,0))))&lt;=J$6)*(MOD((YEAR(J$6)-YEAR($F35))*12+MONTH(J$6)-MONTH($F35),3)=0)),IF($D35="One-off",($F35&gt;=J$5)*($F35&lt;=J$6),0))))))</f>
        <v>0</v>
      </c>
      <c r="K35" s="19">
        <f>IF(OR($E35="",$F35="",$D35=""),0,IF(OR($C35="Loan and finance repayments",$C35="VAT and taxes",$C35="Capital expenditure",$C35="Licences and regulatory fees"),1,1+CostAdj)*$E35*IF($D35="Weekly",(MAX(0,INT((K$6-$F35)/7)+1)-MAX(0,INT((K$5-1-$F35)/7)+1)),IF($D35="Fortnightly",(MAX(0,INT((K$6-$F35)/14)+1)-MAX(0,INT((K$5-1-$F35)/14)+1)),IF($D35="Monthly",((DATE(YEAR(K$5),MONTH(K$5),MIN(DAY($F35),DAY(EOMONTH(K$5,0))))&gt;=MAX(K$5,$F35))*(DATE(YEAR(K$5),MONTH(K$5),MIN(DAY($F35),DAY(EOMONTH(K$5,0))))&lt;=K$6)*(MOD((YEAR(K$5)-YEAR($F35))*12+MONTH(K$5)-MONTH($F35),1)=0)+(MONTH(K$6)&lt;&gt;MONTH(K$5))*(DATE(YEAR(K$6),MONTH(K$6),MIN(DAY($F35),DAY(EOMONTH(K$6,0))))&gt;=$F35)*(DATE(YEAR(K$6),MONTH(K$6),MIN(DAY($F35),DAY(EOMONTH(K$6,0))))&gt;=K$5)*(DATE(YEAR(K$6),MONTH(K$6),MIN(DAY($F35),DAY(EOMONTH(K$6,0))))&lt;=K$6)*(MOD((YEAR(K$6)-YEAR($F35))*12+MONTH(K$6)-MONTH($F35),1)=0)),IF($D35="Quarterly",((DATE(YEAR(K$5),MONTH(K$5),MIN(DAY($F35),DAY(EOMONTH(K$5,0))))&gt;=MAX(K$5,$F35))*(DATE(YEAR(K$5),MONTH(K$5),MIN(DAY($F35),DAY(EOMONTH(K$5,0))))&lt;=K$6)*(MOD((YEAR(K$5)-YEAR($F35))*12+MONTH(K$5)-MONTH($F35),3)=0)+(MONTH(K$6)&lt;&gt;MONTH(K$5))*(DATE(YEAR(K$6),MONTH(K$6),MIN(DAY($F35),DAY(EOMONTH(K$6,0))))&gt;=$F35)*(DATE(YEAR(K$6),MONTH(K$6),MIN(DAY($F35),DAY(EOMONTH(K$6,0))))&gt;=K$5)*(DATE(YEAR(K$6),MONTH(K$6),MIN(DAY($F35),DAY(EOMONTH(K$6,0))))&lt;=K$6)*(MOD((YEAR(K$6)-YEAR($F35))*12+MONTH(K$6)-MONTH($F35),3)=0)),IF($D35="One-off",($F35&gt;=K$5)*($F35&lt;=K$6),0))))))</f>
        <v>0</v>
      </c>
      <c r="L35" s="19">
        <f>IF(OR($E35="",$F35="",$D35=""),0,IF(OR($C35="Loan and finance repayments",$C35="VAT and taxes",$C35="Capital expenditure",$C35="Licences and regulatory fees"),1,1+CostAdj)*$E35*IF($D35="Weekly",(MAX(0,INT((L$6-$F35)/7)+1)-MAX(0,INT((L$5-1-$F35)/7)+1)),IF($D35="Fortnightly",(MAX(0,INT((L$6-$F35)/14)+1)-MAX(0,INT((L$5-1-$F35)/14)+1)),IF($D35="Monthly",((DATE(YEAR(L$5),MONTH(L$5),MIN(DAY($F35),DAY(EOMONTH(L$5,0))))&gt;=MAX(L$5,$F35))*(DATE(YEAR(L$5),MONTH(L$5),MIN(DAY($F35),DAY(EOMONTH(L$5,0))))&lt;=L$6)*(MOD((YEAR(L$5)-YEAR($F35))*12+MONTH(L$5)-MONTH($F35),1)=0)+(MONTH(L$6)&lt;&gt;MONTH(L$5))*(DATE(YEAR(L$6),MONTH(L$6),MIN(DAY($F35),DAY(EOMONTH(L$6,0))))&gt;=$F35)*(DATE(YEAR(L$6),MONTH(L$6),MIN(DAY($F35),DAY(EOMONTH(L$6,0))))&gt;=L$5)*(DATE(YEAR(L$6),MONTH(L$6),MIN(DAY($F35),DAY(EOMONTH(L$6,0))))&lt;=L$6)*(MOD((YEAR(L$6)-YEAR($F35))*12+MONTH(L$6)-MONTH($F35),1)=0)),IF($D35="Quarterly",((DATE(YEAR(L$5),MONTH(L$5),MIN(DAY($F35),DAY(EOMONTH(L$5,0))))&gt;=MAX(L$5,$F35))*(DATE(YEAR(L$5),MONTH(L$5),MIN(DAY($F35),DAY(EOMONTH(L$5,0))))&lt;=L$6)*(MOD((YEAR(L$5)-YEAR($F35))*12+MONTH(L$5)-MONTH($F35),3)=0)+(MONTH(L$6)&lt;&gt;MONTH(L$5))*(DATE(YEAR(L$6),MONTH(L$6),MIN(DAY($F35),DAY(EOMONTH(L$6,0))))&gt;=$F35)*(DATE(YEAR(L$6),MONTH(L$6),MIN(DAY($F35),DAY(EOMONTH(L$6,0))))&gt;=L$5)*(DATE(YEAR(L$6),MONTH(L$6),MIN(DAY($F35),DAY(EOMONTH(L$6,0))))&lt;=L$6)*(MOD((YEAR(L$6)-YEAR($F35))*12+MONTH(L$6)-MONTH($F35),3)=0)),IF($D35="One-off",($F35&gt;=L$5)*($F35&lt;=L$6),0))))))</f>
        <v>0</v>
      </c>
      <c r="M35" s="19">
        <f>IF(OR($E35="",$F35="",$D35=""),0,IF(OR($C35="Loan and finance repayments",$C35="VAT and taxes",$C35="Capital expenditure",$C35="Licences and regulatory fees"),1,1+CostAdj)*$E35*IF($D35="Weekly",(MAX(0,INT((M$6-$F35)/7)+1)-MAX(0,INT((M$5-1-$F35)/7)+1)),IF($D35="Fortnightly",(MAX(0,INT((M$6-$F35)/14)+1)-MAX(0,INT((M$5-1-$F35)/14)+1)),IF($D35="Monthly",((DATE(YEAR(M$5),MONTH(M$5),MIN(DAY($F35),DAY(EOMONTH(M$5,0))))&gt;=MAX(M$5,$F35))*(DATE(YEAR(M$5),MONTH(M$5),MIN(DAY($F35),DAY(EOMONTH(M$5,0))))&lt;=M$6)*(MOD((YEAR(M$5)-YEAR($F35))*12+MONTH(M$5)-MONTH($F35),1)=0)+(MONTH(M$6)&lt;&gt;MONTH(M$5))*(DATE(YEAR(M$6),MONTH(M$6),MIN(DAY($F35),DAY(EOMONTH(M$6,0))))&gt;=$F35)*(DATE(YEAR(M$6),MONTH(M$6),MIN(DAY($F35),DAY(EOMONTH(M$6,0))))&gt;=M$5)*(DATE(YEAR(M$6),MONTH(M$6),MIN(DAY($F35),DAY(EOMONTH(M$6,0))))&lt;=M$6)*(MOD((YEAR(M$6)-YEAR($F35))*12+MONTH(M$6)-MONTH($F35),1)=0)),IF($D35="Quarterly",((DATE(YEAR(M$5),MONTH(M$5),MIN(DAY($F35),DAY(EOMONTH(M$5,0))))&gt;=MAX(M$5,$F35))*(DATE(YEAR(M$5),MONTH(M$5),MIN(DAY($F35),DAY(EOMONTH(M$5,0))))&lt;=M$6)*(MOD((YEAR(M$5)-YEAR($F35))*12+MONTH(M$5)-MONTH($F35),3)=0)+(MONTH(M$6)&lt;&gt;MONTH(M$5))*(DATE(YEAR(M$6),MONTH(M$6),MIN(DAY($F35),DAY(EOMONTH(M$6,0))))&gt;=$F35)*(DATE(YEAR(M$6),MONTH(M$6),MIN(DAY($F35),DAY(EOMONTH(M$6,0))))&gt;=M$5)*(DATE(YEAR(M$6),MONTH(M$6),MIN(DAY($F35),DAY(EOMONTH(M$6,0))))&lt;=M$6)*(MOD((YEAR(M$6)-YEAR($F35))*12+MONTH(M$6)-MONTH($F35),3)=0)),IF($D35="One-off",($F35&gt;=M$5)*($F35&lt;=M$6),0))))))</f>
        <v>0</v>
      </c>
      <c r="N35" s="19">
        <f>IF(OR($E35="",$F35="",$D35=""),0,IF(OR($C35="Loan and finance repayments",$C35="VAT and taxes",$C35="Capital expenditure",$C35="Licences and regulatory fees"),1,1+CostAdj)*$E35*IF($D35="Weekly",(MAX(0,INT((N$6-$F35)/7)+1)-MAX(0,INT((N$5-1-$F35)/7)+1)),IF($D35="Fortnightly",(MAX(0,INT((N$6-$F35)/14)+1)-MAX(0,INT((N$5-1-$F35)/14)+1)),IF($D35="Monthly",((DATE(YEAR(N$5),MONTH(N$5),MIN(DAY($F35),DAY(EOMONTH(N$5,0))))&gt;=MAX(N$5,$F35))*(DATE(YEAR(N$5),MONTH(N$5),MIN(DAY($F35),DAY(EOMONTH(N$5,0))))&lt;=N$6)*(MOD((YEAR(N$5)-YEAR($F35))*12+MONTH(N$5)-MONTH($F35),1)=0)+(MONTH(N$6)&lt;&gt;MONTH(N$5))*(DATE(YEAR(N$6),MONTH(N$6),MIN(DAY($F35),DAY(EOMONTH(N$6,0))))&gt;=$F35)*(DATE(YEAR(N$6),MONTH(N$6),MIN(DAY($F35),DAY(EOMONTH(N$6,0))))&gt;=N$5)*(DATE(YEAR(N$6),MONTH(N$6),MIN(DAY($F35),DAY(EOMONTH(N$6,0))))&lt;=N$6)*(MOD((YEAR(N$6)-YEAR($F35))*12+MONTH(N$6)-MONTH($F35),1)=0)),IF($D35="Quarterly",((DATE(YEAR(N$5),MONTH(N$5),MIN(DAY($F35),DAY(EOMONTH(N$5,0))))&gt;=MAX(N$5,$F35))*(DATE(YEAR(N$5),MONTH(N$5),MIN(DAY($F35),DAY(EOMONTH(N$5,0))))&lt;=N$6)*(MOD((YEAR(N$5)-YEAR($F35))*12+MONTH(N$5)-MONTH($F35),3)=0)+(MONTH(N$6)&lt;&gt;MONTH(N$5))*(DATE(YEAR(N$6),MONTH(N$6),MIN(DAY($F35),DAY(EOMONTH(N$6,0))))&gt;=$F35)*(DATE(YEAR(N$6),MONTH(N$6),MIN(DAY($F35),DAY(EOMONTH(N$6,0))))&gt;=N$5)*(DATE(YEAR(N$6),MONTH(N$6),MIN(DAY($F35),DAY(EOMONTH(N$6,0))))&lt;=N$6)*(MOD((YEAR(N$6)-YEAR($F35))*12+MONTH(N$6)-MONTH($F35),3)=0)),IF($D35="One-off",($F35&gt;=N$5)*($F35&lt;=N$6),0))))))</f>
        <v>0</v>
      </c>
      <c r="O35" s="19">
        <f>IF(OR($E35="",$F35="",$D35=""),0,IF(OR($C35="Loan and finance repayments",$C35="VAT and taxes",$C35="Capital expenditure",$C35="Licences and regulatory fees"),1,1+CostAdj)*$E35*IF($D35="Weekly",(MAX(0,INT((O$6-$F35)/7)+1)-MAX(0,INT((O$5-1-$F35)/7)+1)),IF($D35="Fortnightly",(MAX(0,INT((O$6-$F35)/14)+1)-MAX(0,INT((O$5-1-$F35)/14)+1)),IF($D35="Monthly",((DATE(YEAR(O$5),MONTH(O$5),MIN(DAY($F35),DAY(EOMONTH(O$5,0))))&gt;=MAX(O$5,$F35))*(DATE(YEAR(O$5),MONTH(O$5),MIN(DAY($F35),DAY(EOMONTH(O$5,0))))&lt;=O$6)*(MOD((YEAR(O$5)-YEAR($F35))*12+MONTH(O$5)-MONTH($F35),1)=0)+(MONTH(O$6)&lt;&gt;MONTH(O$5))*(DATE(YEAR(O$6),MONTH(O$6),MIN(DAY($F35),DAY(EOMONTH(O$6,0))))&gt;=$F35)*(DATE(YEAR(O$6),MONTH(O$6),MIN(DAY($F35),DAY(EOMONTH(O$6,0))))&gt;=O$5)*(DATE(YEAR(O$6),MONTH(O$6),MIN(DAY($F35),DAY(EOMONTH(O$6,0))))&lt;=O$6)*(MOD((YEAR(O$6)-YEAR($F35))*12+MONTH(O$6)-MONTH($F35),1)=0)),IF($D35="Quarterly",((DATE(YEAR(O$5),MONTH(O$5),MIN(DAY($F35),DAY(EOMONTH(O$5,0))))&gt;=MAX(O$5,$F35))*(DATE(YEAR(O$5),MONTH(O$5),MIN(DAY($F35),DAY(EOMONTH(O$5,0))))&lt;=O$6)*(MOD((YEAR(O$5)-YEAR($F35))*12+MONTH(O$5)-MONTH($F35),3)=0)+(MONTH(O$6)&lt;&gt;MONTH(O$5))*(DATE(YEAR(O$6),MONTH(O$6),MIN(DAY($F35),DAY(EOMONTH(O$6,0))))&gt;=$F35)*(DATE(YEAR(O$6),MONTH(O$6),MIN(DAY($F35),DAY(EOMONTH(O$6,0))))&gt;=O$5)*(DATE(YEAR(O$6),MONTH(O$6),MIN(DAY($F35),DAY(EOMONTH(O$6,0))))&lt;=O$6)*(MOD((YEAR(O$6)-YEAR($F35))*12+MONTH(O$6)-MONTH($F35),3)=0)),IF($D35="One-off",($F35&gt;=O$5)*($F35&lt;=O$6),0))))))</f>
        <v>0</v>
      </c>
      <c r="P35" s="19">
        <f>IF(OR($E35="",$F35="",$D35=""),0,IF(OR($C35="Loan and finance repayments",$C35="VAT and taxes",$C35="Capital expenditure",$C35="Licences and regulatory fees"),1,1+CostAdj)*$E35*IF($D35="Weekly",(MAX(0,INT((P$6-$F35)/7)+1)-MAX(0,INT((P$5-1-$F35)/7)+1)),IF($D35="Fortnightly",(MAX(0,INT((P$6-$F35)/14)+1)-MAX(0,INT((P$5-1-$F35)/14)+1)),IF($D35="Monthly",((DATE(YEAR(P$5),MONTH(P$5),MIN(DAY($F35),DAY(EOMONTH(P$5,0))))&gt;=MAX(P$5,$F35))*(DATE(YEAR(P$5),MONTH(P$5),MIN(DAY($F35),DAY(EOMONTH(P$5,0))))&lt;=P$6)*(MOD((YEAR(P$5)-YEAR($F35))*12+MONTH(P$5)-MONTH($F35),1)=0)+(MONTH(P$6)&lt;&gt;MONTH(P$5))*(DATE(YEAR(P$6),MONTH(P$6),MIN(DAY($F35),DAY(EOMONTH(P$6,0))))&gt;=$F35)*(DATE(YEAR(P$6),MONTH(P$6),MIN(DAY($F35),DAY(EOMONTH(P$6,0))))&gt;=P$5)*(DATE(YEAR(P$6),MONTH(P$6),MIN(DAY($F35),DAY(EOMONTH(P$6,0))))&lt;=P$6)*(MOD((YEAR(P$6)-YEAR($F35))*12+MONTH(P$6)-MONTH($F35),1)=0)),IF($D35="Quarterly",((DATE(YEAR(P$5),MONTH(P$5),MIN(DAY($F35),DAY(EOMONTH(P$5,0))))&gt;=MAX(P$5,$F35))*(DATE(YEAR(P$5),MONTH(P$5),MIN(DAY($F35),DAY(EOMONTH(P$5,0))))&lt;=P$6)*(MOD((YEAR(P$5)-YEAR($F35))*12+MONTH(P$5)-MONTH($F35),3)=0)+(MONTH(P$6)&lt;&gt;MONTH(P$5))*(DATE(YEAR(P$6),MONTH(P$6),MIN(DAY($F35),DAY(EOMONTH(P$6,0))))&gt;=$F35)*(DATE(YEAR(P$6),MONTH(P$6),MIN(DAY($F35),DAY(EOMONTH(P$6,0))))&gt;=P$5)*(DATE(YEAR(P$6),MONTH(P$6),MIN(DAY($F35),DAY(EOMONTH(P$6,0))))&lt;=P$6)*(MOD((YEAR(P$6)-YEAR($F35))*12+MONTH(P$6)-MONTH($F35),3)=0)),IF($D35="One-off",($F35&gt;=P$5)*($F35&lt;=P$6),0))))))</f>
        <v>0</v>
      </c>
      <c r="Q35" s="19">
        <f>IF(OR($E35="",$F35="",$D35=""),0,IF(OR($C35="Loan and finance repayments",$C35="VAT and taxes",$C35="Capital expenditure",$C35="Licences and regulatory fees"),1,1+CostAdj)*$E35*IF($D35="Weekly",(MAX(0,INT((Q$6-$F35)/7)+1)-MAX(0,INT((Q$5-1-$F35)/7)+1)),IF($D35="Fortnightly",(MAX(0,INT((Q$6-$F35)/14)+1)-MAX(0,INT((Q$5-1-$F35)/14)+1)),IF($D35="Monthly",((DATE(YEAR(Q$5),MONTH(Q$5),MIN(DAY($F35),DAY(EOMONTH(Q$5,0))))&gt;=MAX(Q$5,$F35))*(DATE(YEAR(Q$5),MONTH(Q$5),MIN(DAY($F35),DAY(EOMONTH(Q$5,0))))&lt;=Q$6)*(MOD((YEAR(Q$5)-YEAR($F35))*12+MONTH(Q$5)-MONTH($F35),1)=0)+(MONTH(Q$6)&lt;&gt;MONTH(Q$5))*(DATE(YEAR(Q$6),MONTH(Q$6),MIN(DAY($F35),DAY(EOMONTH(Q$6,0))))&gt;=$F35)*(DATE(YEAR(Q$6),MONTH(Q$6),MIN(DAY($F35),DAY(EOMONTH(Q$6,0))))&gt;=Q$5)*(DATE(YEAR(Q$6),MONTH(Q$6),MIN(DAY($F35),DAY(EOMONTH(Q$6,0))))&lt;=Q$6)*(MOD((YEAR(Q$6)-YEAR($F35))*12+MONTH(Q$6)-MONTH($F35),1)=0)),IF($D35="Quarterly",((DATE(YEAR(Q$5),MONTH(Q$5),MIN(DAY($F35),DAY(EOMONTH(Q$5,0))))&gt;=MAX(Q$5,$F35))*(DATE(YEAR(Q$5),MONTH(Q$5),MIN(DAY($F35),DAY(EOMONTH(Q$5,0))))&lt;=Q$6)*(MOD((YEAR(Q$5)-YEAR($F35))*12+MONTH(Q$5)-MONTH($F35),3)=0)+(MONTH(Q$6)&lt;&gt;MONTH(Q$5))*(DATE(YEAR(Q$6),MONTH(Q$6),MIN(DAY($F35),DAY(EOMONTH(Q$6,0))))&gt;=$F35)*(DATE(YEAR(Q$6),MONTH(Q$6),MIN(DAY($F35),DAY(EOMONTH(Q$6,0))))&gt;=Q$5)*(DATE(YEAR(Q$6),MONTH(Q$6),MIN(DAY($F35),DAY(EOMONTH(Q$6,0))))&lt;=Q$6)*(MOD((YEAR(Q$6)-YEAR($F35))*12+MONTH(Q$6)-MONTH($F35),3)=0)),IF($D35="One-off",($F35&gt;=Q$5)*($F35&lt;=Q$6),0))))))</f>
        <v>0</v>
      </c>
      <c r="R35" s="19">
        <f>IF(OR($E35="",$F35="",$D35=""),0,IF(OR($C35="Loan and finance repayments",$C35="VAT and taxes",$C35="Capital expenditure",$C35="Licences and regulatory fees"),1,1+CostAdj)*$E35*IF($D35="Weekly",(MAX(0,INT((R$6-$F35)/7)+1)-MAX(0,INT((R$5-1-$F35)/7)+1)),IF($D35="Fortnightly",(MAX(0,INT((R$6-$F35)/14)+1)-MAX(0,INT((R$5-1-$F35)/14)+1)),IF($D35="Monthly",((DATE(YEAR(R$5),MONTH(R$5),MIN(DAY($F35),DAY(EOMONTH(R$5,0))))&gt;=MAX(R$5,$F35))*(DATE(YEAR(R$5),MONTH(R$5),MIN(DAY($F35),DAY(EOMONTH(R$5,0))))&lt;=R$6)*(MOD((YEAR(R$5)-YEAR($F35))*12+MONTH(R$5)-MONTH($F35),1)=0)+(MONTH(R$6)&lt;&gt;MONTH(R$5))*(DATE(YEAR(R$6),MONTH(R$6),MIN(DAY($F35),DAY(EOMONTH(R$6,0))))&gt;=$F35)*(DATE(YEAR(R$6),MONTH(R$6),MIN(DAY($F35),DAY(EOMONTH(R$6,0))))&gt;=R$5)*(DATE(YEAR(R$6),MONTH(R$6),MIN(DAY($F35),DAY(EOMONTH(R$6,0))))&lt;=R$6)*(MOD((YEAR(R$6)-YEAR($F35))*12+MONTH(R$6)-MONTH($F35),1)=0)),IF($D35="Quarterly",((DATE(YEAR(R$5),MONTH(R$5),MIN(DAY($F35),DAY(EOMONTH(R$5,0))))&gt;=MAX(R$5,$F35))*(DATE(YEAR(R$5),MONTH(R$5),MIN(DAY($F35),DAY(EOMONTH(R$5,0))))&lt;=R$6)*(MOD((YEAR(R$5)-YEAR($F35))*12+MONTH(R$5)-MONTH($F35),3)=0)+(MONTH(R$6)&lt;&gt;MONTH(R$5))*(DATE(YEAR(R$6),MONTH(R$6),MIN(DAY($F35),DAY(EOMONTH(R$6,0))))&gt;=$F35)*(DATE(YEAR(R$6),MONTH(R$6),MIN(DAY($F35),DAY(EOMONTH(R$6,0))))&gt;=R$5)*(DATE(YEAR(R$6),MONTH(R$6),MIN(DAY($F35),DAY(EOMONTH(R$6,0))))&lt;=R$6)*(MOD((YEAR(R$6)-YEAR($F35))*12+MONTH(R$6)-MONTH($F35),3)=0)),IF($D35="One-off",($F35&gt;=R$5)*($F35&lt;=R$6),0))))))</f>
        <v>0</v>
      </c>
      <c r="S35" s="19">
        <f>IF(OR($E35="",$F35="",$D35=""),0,IF(OR($C35="Loan and finance repayments",$C35="VAT and taxes",$C35="Capital expenditure",$C35="Licences and regulatory fees"),1,1+CostAdj)*$E35*IF($D35="Weekly",(MAX(0,INT((S$6-$F35)/7)+1)-MAX(0,INT((S$5-1-$F35)/7)+1)),IF($D35="Fortnightly",(MAX(0,INT((S$6-$F35)/14)+1)-MAX(0,INT((S$5-1-$F35)/14)+1)),IF($D35="Monthly",((DATE(YEAR(S$5),MONTH(S$5),MIN(DAY($F35),DAY(EOMONTH(S$5,0))))&gt;=MAX(S$5,$F35))*(DATE(YEAR(S$5),MONTH(S$5),MIN(DAY($F35),DAY(EOMONTH(S$5,0))))&lt;=S$6)*(MOD((YEAR(S$5)-YEAR($F35))*12+MONTH(S$5)-MONTH($F35),1)=0)+(MONTH(S$6)&lt;&gt;MONTH(S$5))*(DATE(YEAR(S$6),MONTH(S$6),MIN(DAY($F35),DAY(EOMONTH(S$6,0))))&gt;=$F35)*(DATE(YEAR(S$6),MONTH(S$6),MIN(DAY($F35),DAY(EOMONTH(S$6,0))))&gt;=S$5)*(DATE(YEAR(S$6),MONTH(S$6),MIN(DAY($F35),DAY(EOMONTH(S$6,0))))&lt;=S$6)*(MOD((YEAR(S$6)-YEAR($F35))*12+MONTH(S$6)-MONTH($F35),1)=0)),IF($D35="Quarterly",((DATE(YEAR(S$5),MONTH(S$5),MIN(DAY($F35),DAY(EOMONTH(S$5,0))))&gt;=MAX(S$5,$F35))*(DATE(YEAR(S$5),MONTH(S$5),MIN(DAY($F35),DAY(EOMONTH(S$5,0))))&lt;=S$6)*(MOD((YEAR(S$5)-YEAR($F35))*12+MONTH(S$5)-MONTH($F35),3)=0)+(MONTH(S$6)&lt;&gt;MONTH(S$5))*(DATE(YEAR(S$6),MONTH(S$6),MIN(DAY($F35),DAY(EOMONTH(S$6,0))))&gt;=$F35)*(DATE(YEAR(S$6),MONTH(S$6),MIN(DAY($F35),DAY(EOMONTH(S$6,0))))&gt;=S$5)*(DATE(YEAR(S$6),MONTH(S$6),MIN(DAY($F35),DAY(EOMONTH(S$6,0))))&lt;=S$6)*(MOD((YEAR(S$6)-YEAR($F35))*12+MONTH(S$6)-MONTH($F35),3)=0)),IF($D35="One-off",($F35&gt;=S$5)*($F35&lt;=S$6),0))))))</f>
        <v>0</v>
      </c>
      <c r="T35" s="19">
        <f>IF(OR($E35="",$F35="",$D35=""),0,IF(OR($C35="Loan and finance repayments",$C35="VAT and taxes",$C35="Capital expenditure",$C35="Licences and regulatory fees"),1,1+CostAdj)*$E35*IF($D35="Weekly",(MAX(0,INT((T$6-$F35)/7)+1)-MAX(0,INT((T$5-1-$F35)/7)+1)),IF($D35="Fortnightly",(MAX(0,INT((T$6-$F35)/14)+1)-MAX(0,INT((T$5-1-$F35)/14)+1)),IF($D35="Monthly",((DATE(YEAR(T$5),MONTH(T$5),MIN(DAY($F35),DAY(EOMONTH(T$5,0))))&gt;=MAX(T$5,$F35))*(DATE(YEAR(T$5),MONTH(T$5),MIN(DAY($F35),DAY(EOMONTH(T$5,0))))&lt;=T$6)*(MOD((YEAR(T$5)-YEAR($F35))*12+MONTH(T$5)-MONTH($F35),1)=0)+(MONTH(T$6)&lt;&gt;MONTH(T$5))*(DATE(YEAR(T$6),MONTH(T$6),MIN(DAY($F35),DAY(EOMONTH(T$6,0))))&gt;=$F35)*(DATE(YEAR(T$6),MONTH(T$6),MIN(DAY($F35),DAY(EOMONTH(T$6,0))))&gt;=T$5)*(DATE(YEAR(T$6),MONTH(T$6),MIN(DAY($F35),DAY(EOMONTH(T$6,0))))&lt;=T$6)*(MOD((YEAR(T$6)-YEAR($F35))*12+MONTH(T$6)-MONTH($F35),1)=0)),IF($D35="Quarterly",((DATE(YEAR(T$5),MONTH(T$5),MIN(DAY($F35),DAY(EOMONTH(T$5,0))))&gt;=MAX(T$5,$F35))*(DATE(YEAR(T$5),MONTH(T$5),MIN(DAY($F35),DAY(EOMONTH(T$5,0))))&lt;=T$6)*(MOD((YEAR(T$5)-YEAR($F35))*12+MONTH(T$5)-MONTH($F35),3)=0)+(MONTH(T$6)&lt;&gt;MONTH(T$5))*(DATE(YEAR(T$6),MONTH(T$6),MIN(DAY($F35),DAY(EOMONTH(T$6,0))))&gt;=$F35)*(DATE(YEAR(T$6),MONTH(T$6),MIN(DAY($F35),DAY(EOMONTH(T$6,0))))&gt;=T$5)*(DATE(YEAR(T$6),MONTH(T$6),MIN(DAY($F35),DAY(EOMONTH(T$6,0))))&lt;=T$6)*(MOD((YEAR(T$6)-YEAR($F35))*12+MONTH(T$6)-MONTH($F35),3)=0)),IF($D35="One-off",($F35&gt;=T$5)*($F35&lt;=T$6),0))))))</f>
        <v>0</v>
      </c>
      <c r="U35" s="36">
        <f>SUM(H35:T35)</f>
        <v>0</v>
      </c>
    </row>
    <row r="36" spans="1:21">
      <c r="A36" s="42">
        <v>28</v>
      </c>
      <c r="B36" s="7"/>
      <c r="C36" s="7"/>
      <c r="D36" s="7"/>
      <c r="E36" s="18"/>
      <c r="F36" s="17"/>
      <c r="G36" s="7"/>
      <c r="H36" s="19">
        <f>IF(OR($E36="",$F36="",$D36=""),0,IF(OR($C36="Loan and finance repayments",$C36="VAT and taxes",$C36="Capital expenditure",$C36="Licences and regulatory fees"),1,1+CostAdj)*$E36*IF($D36="Weekly",(MAX(0,INT((H$6-$F36)/7)+1)-MAX(0,INT((H$5-1-$F36)/7)+1)),IF($D36="Fortnightly",(MAX(0,INT((H$6-$F36)/14)+1)-MAX(0,INT((H$5-1-$F36)/14)+1)),IF($D36="Monthly",((DATE(YEAR(H$5),MONTH(H$5),MIN(DAY($F36),DAY(EOMONTH(H$5,0))))&gt;=MAX(H$5,$F36))*(DATE(YEAR(H$5),MONTH(H$5),MIN(DAY($F36),DAY(EOMONTH(H$5,0))))&lt;=H$6)*(MOD((YEAR(H$5)-YEAR($F36))*12+MONTH(H$5)-MONTH($F36),1)=0)+(MONTH(H$6)&lt;&gt;MONTH(H$5))*(DATE(YEAR(H$6),MONTH(H$6),MIN(DAY($F36),DAY(EOMONTH(H$6,0))))&gt;=$F36)*(DATE(YEAR(H$6),MONTH(H$6),MIN(DAY($F36),DAY(EOMONTH(H$6,0))))&gt;=H$5)*(DATE(YEAR(H$6),MONTH(H$6),MIN(DAY($F36),DAY(EOMONTH(H$6,0))))&lt;=H$6)*(MOD((YEAR(H$6)-YEAR($F36))*12+MONTH(H$6)-MONTH($F36),1)=0)),IF($D36="Quarterly",((DATE(YEAR(H$5),MONTH(H$5),MIN(DAY($F36),DAY(EOMONTH(H$5,0))))&gt;=MAX(H$5,$F36))*(DATE(YEAR(H$5),MONTH(H$5),MIN(DAY($F36),DAY(EOMONTH(H$5,0))))&lt;=H$6)*(MOD((YEAR(H$5)-YEAR($F36))*12+MONTH(H$5)-MONTH($F36),3)=0)+(MONTH(H$6)&lt;&gt;MONTH(H$5))*(DATE(YEAR(H$6),MONTH(H$6),MIN(DAY($F36),DAY(EOMONTH(H$6,0))))&gt;=$F36)*(DATE(YEAR(H$6),MONTH(H$6),MIN(DAY($F36),DAY(EOMONTH(H$6,0))))&gt;=H$5)*(DATE(YEAR(H$6),MONTH(H$6),MIN(DAY($F36),DAY(EOMONTH(H$6,0))))&lt;=H$6)*(MOD((YEAR(H$6)-YEAR($F36))*12+MONTH(H$6)-MONTH($F36),3)=0)),IF($D36="One-off",($F36&gt;=H$5)*($F36&lt;=H$6),0))))))</f>
        <v>0</v>
      </c>
      <c r="I36" s="19">
        <f>IF(OR($E36="",$F36="",$D36=""),0,IF(OR($C36="Loan and finance repayments",$C36="VAT and taxes",$C36="Capital expenditure",$C36="Licences and regulatory fees"),1,1+CostAdj)*$E36*IF($D36="Weekly",(MAX(0,INT((I$6-$F36)/7)+1)-MAX(0,INT((I$5-1-$F36)/7)+1)),IF($D36="Fortnightly",(MAX(0,INT((I$6-$F36)/14)+1)-MAX(0,INT((I$5-1-$F36)/14)+1)),IF($D36="Monthly",((DATE(YEAR(I$5),MONTH(I$5),MIN(DAY($F36),DAY(EOMONTH(I$5,0))))&gt;=MAX(I$5,$F36))*(DATE(YEAR(I$5),MONTH(I$5),MIN(DAY($F36),DAY(EOMONTH(I$5,0))))&lt;=I$6)*(MOD((YEAR(I$5)-YEAR($F36))*12+MONTH(I$5)-MONTH($F36),1)=0)+(MONTH(I$6)&lt;&gt;MONTH(I$5))*(DATE(YEAR(I$6),MONTH(I$6),MIN(DAY($F36),DAY(EOMONTH(I$6,0))))&gt;=$F36)*(DATE(YEAR(I$6),MONTH(I$6),MIN(DAY($F36),DAY(EOMONTH(I$6,0))))&gt;=I$5)*(DATE(YEAR(I$6),MONTH(I$6),MIN(DAY($F36),DAY(EOMONTH(I$6,0))))&lt;=I$6)*(MOD((YEAR(I$6)-YEAR($F36))*12+MONTH(I$6)-MONTH($F36),1)=0)),IF($D36="Quarterly",((DATE(YEAR(I$5),MONTH(I$5),MIN(DAY($F36),DAY(EOMONTH(I$5,0))))&gt;=MAX(I$5,$F36))*(DATE(YEAR(I$5),MONTH(I$5),MIN(DAY($F36),DAY(EOMONTH(I$5,0))))&lt;=I$6)*(MOD((YEAR(I$5)-YEAR($F36))*12+MONTH(I$5)-MONTH($F36),3)=0)+(MONTH(I$6)&lt;&gt;MONTH(I$5))*(DATE(YEAR(I$6),MONTH(I$6),MIN(DAY($F36),DAY(EOMONTH(I$6,0))))&gt;=$F36)*(DATE(YEAR(I$6),MONTH(I$6),MIN(DAY($F36),DAY(EOMONTH(I$6,0))))&gt;=I$5)*(DATE(YEAR(I$6),MONTH(I$6),MIN(DAY($F36),DAY(EOMONTH(I$6,0))))&lt;=I$6)*(MOD((YEAR(I$6)-YEAR($F36))*12+MONTH(I$6)-MONTH($F36),3)=0)),IF($D36="One-off",($F36&gt;=I$5)*($F36&lt;=I$6),0))))))</f>
        <v>0</v>
      </c>
      <c r="J36" s="19">
        <f>IF(OR($E36="",$F36="",$D36=""),0,IF(OR($C36="Loan and finance repayments",$C36="VAT and taxes",$C36="Capital expenditure",$C36="Licences and regulatory fees"),1,1+CostAdj)*$E36*IF($D36="Weekly",(MAX(0,INT((J$6-$F36)/7)+1)-MAX(0,INT((J$5-1-$F36)/7)+1)),IF($D36="Fortnightly",(MAX(0,INT((J$6-$F36)/14)+1)-MAX(0,INT((J$5-1-$F36)/14)+1)),IF($D36="Monthly",((DATE(YEAR(J$5),MONTH(J$5),MIN(DAY($F36),DAY(EOMONTH(J$5,0))))&gt;=MAX(J$5,$F36))*(DATE(YEAR(J$5),MONTH(J$5),MIN(DAY($F36),DAY(EOMONTH(J$5,0))))&lt;=J$6)*(MOD((YEAR(J$5)-YEAR($F36))*12+MONTH(J$5)-MONTH($F36),1)=0)+(MONTH(J$6)&lt;&gt;MONTH(J$5))*(DATE(YEAR(J$6),MONTH(J$6),MIN(DAY($F36),DAY(EOMONTH(J$6,0))))&gt;=$F36)*(DATE(YEAR(J$6),MONTH(J$6),MIN(DAY($F36),DAY(EOMONTH(J$6,0))))&gt;=J$5)*(DATE(YEAR(J$6),MONTH(J$6),MIN(DAY($F36),DAY(EOMONTH(J$6,0))))&lt;=J$6)*(MOD((YEAR(J$6)-YEAR($F36))*12+MONTH(J$6)-MONTH($F36),1)=0)),IF($D36="Quarterly",((DATE(YEAR(J$5),MONTH(J$5),MIN(DAY($F36),DAY(EOMONTH(J$5,0))))&gt;=MAX(J$5,$F36))*(DATE(YEAR(J$5),MONTH(J$5),MIN(DAY($F36),DAY(EOMONTH(J$5,0))))&lt;=J$6)*(MOD((YEAR(J$5)-YEAR($F36))*12+MONTH(J$5)-MONTH($F36),3)=0)+(MONTH(J$6)&lt;&gt;MONTH(J$5))*(DATE(YEAR(J$6),MONTH(J$6),MIN(DAY($F36),DAY(EOMONTH(J$6,0))))&gt;=$F36)*(DATE(YEAR(J$6),MONTH(J$6),MIN(DAY($F36),DAY(EOMONTH(J$6,0))))&gt;=J$5)*(DATE(YEAR(J$6),MONTH(J$6),MIN(DAY($F36),DAY(EOMONTH(J$6,0))))&lt;=J$6)*(MOD((YEAR(J$6)-YEAR($F36))*12+MONTH(J$6)-MONTH($F36),3)=0)),IF($D36="One-off",($F36&gt;=J$5)*($F36&lt;=J$6),0))))))</f>
        <v>0</v>
      </c>
      <c r="K36" s="19">
        <f>IF(OR($E36="",$F36="",$D36=""),0,IF(OR($C36="Loan and finance repayments",$C36="VAT and taxes",$C36="Capital expenditure",$C36="Licences and regulatory fees"),1,1+CostAdj)*$E36*IF($D36="Weekly",(MAX(0,INT((K$6-$F36)/7)+1)-MAX(0,INT((K$5-1-$F36)/7)+1)),IF($D36="Fortnightly",(MAX(0,INT((K$6-$F36)/14)+1)-MAX(0,INT((K$5-1-$F36)/14)+1)),IF($D36="Monthly",((DATE(YEAR(K$5),MONTH(K$5),MIN(DAY($F36),DAY(EOMONTH(K$5,0))))&gt;=MAX(K$5,$F36))*(DATE(YEAR(K$5),MONTH(K$5),MIN(DAY($F36),DAY(EOMONTH(K$5,0))))&lt;=K$6)*(MOD((YEAR(K$5)-YEAR($F36))*12+MONTH(K$5)-MONTH($F36),1)=0)+(MONTH(K$6)&lt;&gt;MONTH(K$5))*(DATE(YEAR(K$6),MONTH(K$6),MIN(DAY($F36),DAY(EOMONTH(K$6,0))))&gt;=$F36)*(DATE(YEAR(K$6),MONTH(K$6),MIN(DAY($F36),DAY(EOMONTH(K$6,0))))&gt;=K$5)*(DATE(YEAR(K$6),MONTH(K$6),MIN(DAY($F36),DAY(EOMONTH(K$6,0))))&lt;=K$6)*(MOD((YEAR(K$6)-YEAR($F36))*12+MONTH(K$6)-MONTH($F36),1)=0)),IF($D36="Quarterly",((DATE(YEAR(K$5),MONTH(K$5),MIN(DAY($F36),DAY(EOMONTH(K$5,0))))&gt;=MAX(K$5,$F36))*(DATE(YEAR(K$5),MONTH(K$5),MIN(DAY($F36),DAY(EOMONTH(K$5,0))))&lt;=K$6)*(MOD((YEAR(K$5)-YEAR($F36))*12+MONTH(K$5)-MONTH($F36),3)=0)+(MONTH(K$6)&lt;&gt;MONTH(K$5))*(DATE(YEAR(K$6),MONTH(K$6),MIN(DAY($F36),DAY(EOMONTH(K$6,0))))&gt;=$F36)*(DATE(YEAR(K$6),MONTH(K$6),MIN(DAY($F36),DAY(EOMONTH(K$6,0))))&gt;=K$5)*(DATE(YEAR(K$6),MONTH(K$6),MIN(DAY($F36),DAY(EOMONTH(K$6,0))))&lt;=K$6)*(MOD((YEAR(K$6)-YEAR($F36))*12+MONTH(K$6)-MONTH($F36),3)=0)),IF($D36="One-off",($F36&gt;=K$5)*($F36&lt;=K$6),0))))))</f>
        <v>0</v>
      </c>
      <c r="L36" s="19">
        <f>IF(OR($E36="",$F36="",$D36=""),0,IF(OR($C36="Loan and finance repayments",$C36="VAT and taxes",$C36="Capital expenditure",$C36="Licences and regulatory fees"),1,1+CostAdj)*$E36*IF($D36="Weekly",(MAX(0,INT((L$6-$F36)/7)+1)-MAX(0,INT((L$5-1-$F36)/7)+1)),IF($D36="Fortnightly",(MAX(0,INT((L$6-$F36)/14)+1)-MAX(0,INT((L$5-1-$F36)/14)+1)),IF($D36="Monthly",((DATE(YEAR(L$5),MONTH(L$5),MIN(DAY($F36),DAY(EOMONTH(L$5,0))))&gt;=MAX(L$5,$F36))*(DATE(YEAR(L$5),MONTH(L$5),MIN(DAY($F36),DAY(EOMONTH(L$5,0))))&lt;=L$6)*(MOD((YEAR(L$5)-YEAR($F36))*12+MONTH(L$5)-MONTH($F36),1)=0)+(MONTH(L$6)&lt;&gt;MONTH(L$5))*(DATE(YEAR(L$6),MONTH(L$6),MIN(DAY($F36),DAY(EOMONTH(L$6,0))))&gt;=$F36)*(DATE(YEAR(L$6),MONTH(L$6),MIN(DAY($F36),DAY(EOMONTH(L$6,0))))&gt;=L$5)*(DATE(YEAR(L$6),MONTH(L$6),MIN(DAY($F36),DAY(EOMONTH(L$6,0))))&lt;=L$6)*(MOD((YEAR(L$6)-YEAR($F36))*12+MONTH(L$6)-MONTH($F36),1)=0)),IF($D36="Quarterly",((DATE(YEAR(L$5),MONTH(L$5),MIN(DAY($F36),DAY(EOMONTH(L$5,0))))&gt;=MAX(L$5,$F36))*(DATE(YEAR(L$5),MONTH(L$5),MIN(DAY($F36),DAY(EOMONTH(L$5,0))))&lt;=L$6)*(MOD((YEAR(L$5)-YEAR($F36))*12+MONTH(L$5)-MONTH($F36),3)=0)+(MONTH(L$6)&lt;&gt;MONTH(L$5))*(DATE(YEAR(L$6),MONTH(L$6),MIN(DAY($F36),DAY(EOMONTH(L$6,0))))&gt;=$F36)*(DATE(YEAR(L$6),MONTH(L$6),MIN(DAY($F36),DAY(EOMONTH(L$6,0))))&gt;=L$5)*(DATE(YEAR(L$6),MONTH(L$6),MIN(DAY($F36),DAY(EOMONTH(L$6,0))))&lt;=L$6)*(MOD((YEAR(L$6)-YEAR($F36))*12+MONTH(L$6)-MONTH($F36),3)=0)),IF($D36="One-off",($F36&gt;=L$5)*($F36&lt;=L$6),0))))))</f>
        <v>0</v>
      </c>
      <c r="M36" s="19">
        <f>IF(OR($E36="",$F36="",$D36=""),0,IF(OR($C36="Loan and finance repayments",$C36="VAT and taxes",$C36="Capital expenditure",$C36="Licences and regulatory fees"),1,1+CostAdj)*$E36*IF($D36="Weekly",(MAX(0,INT((M$6-$F36)/7)+1)-MAX(0,INT((M$5-1-$F36)/7)+1)),IF($D36="Fortnightly",(MAX(0,INT((M$6-$F36)/14)+1)-MAX(0,INT((M$5-1-$F36)/14)+1)),IF($D36="Monthly",((DATE(YEAR(M$5),MONTH(M$5),MIN(DAY($F36),DAY(EOMONTH(M$5,0))))&gt;=MAX(M$5,$F36))*(DATE(YEAR(M$5),MONTH(M$5),MIN(DAY($F36),DAY(EOMONTH(M$5,0))))&lt;=M$6)*(MOD((YEAR(M$5)-YEAR($F36))*12+MONTH(M$5)-MONTH($F36),1)=0)+(MONTH(M$6)&lt;&gt;MONTH(M$5))*(DATE(YEAR(M$6),MONTH(M$6),MIN(DAY($F36),DAY(EOMONTH(M$6,0))))&gt;=$F36)*(DATE(YEAR(M$6),MONTH(M$6),MIN(DAY($F36),DAY(EOMONTH(M$6,0))))&gt;=M$5)*(DATE(YEAR(M$6),MONTH(M$6),MIN(DAY($F36),DAY(EOMONTH(M$6,0))))&lt;=M$6)*(MOD((YEAR(M$6)-YEAR($F36))*12+MONTH(M$6)-MONTH($F36),1)=0)),IF($D36="Quarterly",((DATE(YEAR(M$5),MONTH(M$5),MIN(DAY($F36),DAY(EOMONTH(M$5,0))))&gt;=MAX(M$5,$F36))*(DATE(YEAR(M$5),MONTH(M$5),MIN(DAY($F36),DAY(EOMONTH(M$5,0))))&lt;=M$6)*(MOD((YEAR(M$5)-YEAR($F36))*12+MONTH(M$5)-MONTH($F36),3)=0)+(MONTH(M$6)&lt;&gt;MONTH(M$5))*(DATE(YEAR(M$6),MONTH(M$6),MIN(DAY($F36),DAY(EOMONTH(M$6,0))))&gt;=$F36)*(DATE(YEAR(M$6),MONTH(M$6),MIN(DAY($F36),DAY(EOMONTH(M$6,0))))&gt;=M$5)*(DATE(YEAR(M$6),MONTH(M$6),MIN(DAY($F36),DAY(EOMONTH(M$6,0))))&lt;=M$6)*(MOD((YEAR(M$6)-YEAR($F36))*12+MONTH(M$6)-MONTH($F36),3)=0)),IF($D36="One-off",($F36&gt;=M$5)*($F36&lt;=M$6),0))))))</f>
        <v>0</v>
      </c>
      <c r="N36" s="19">
        <f>IF(OR($E36="",$F36="",$D36=""),0,IF(OR($C36="Loan and finance repayments",$C36="VAT and taxes",$C36="Capital expenditure",$C36="Licences and regulatory fees"),1,1+CostAdj)*$E36*IF($D36="Weekly",(MAX(0,INT((N$6-$F36)/7)+1)-MAX(0,INT((N$5-1-$F36)/7)+1)),IF($D36="Fortnightly",(MAX(0,INT((N$6-$F36)/14)+1)-MAX(0,INT((N$5-1-$F36)/14)+1)),IF($D36="Monthly",((DATE(YEAR(N$5),MONTH(N$5),MIN(DAY($F36),DAY(EOMONTH(N$5,0))))&gt;=MAX(N$5,$F36))*(DATE(YEAR(N$5),MONTH(N$5),MIN(DAY($F36),DAY(EOMONTH(N$5,0))))&lt;=N$6)*(MOD((YEAR(N$5)-YEAR($F36))*12+MONTH(N$5)-MONTH($F36),1)=0)+(MONTH(N$6)&lt;&gt;MONTH(N$5))*(DATE(YEAR(N$6),MONTH(N$6),MIN(DAY($F36),DAY(EOMONTH(N$6,0))))&gt;=$F36)*(DATE(YEAR(N$6),MONTH(N$6),MIN(DAY($F36),DAY(EOMONTH(N$6,0))))&gt;=N$5)*(DATE(YEAR(N$6),MONTH(N$6),MIN(DAY($F36),DAY(EOMONTH(N$6,0))))&lt;=N$6)*(MOD((YEAR(N$6)-YEAR($F36))*12+MONTH(N$6)-MONTH($F36),1)=0)),IF($D36="Quarterly",((DATE(YEAR(N$5),MONTH(N$5),MIN(DAY($F36),DAY(EOMONTH(N$5,0))))&gt;=MAX(N$5,$F36))*(DATE(YEAR(N$5),MONTH(N$5),MIN(DAY($F36),DAY(EOMONTH(N$5,0))))&lt;=N$6)*(MOD((YEAR(N$5)-YEAR($F36))*12+MONTH(N$5)-MONTH($F36),3)=0)+(MONTH(N$6)&lt;&gt;MONTH(N$5))*(DATE(YEAR(N$6),MONTH(N$6),MIN(DAY($F36),DAY(EOMONTH(N$6,0))))&gt;=$F36)*(DATE(YEAR(N$6),MONTH(N$6),MIN(DAY($F36),DAY(EOMONTH(N$6,0))))&gt;=N$5)*(DATE(YEAR(N$6),MONTH(N$6),MIN(DAY($F36),DAY(EOMONTH(N$6,0))))&lt;=N$6)*(MOD((YEAR(N$6)-YEAR($F36))*12+MONTH(N$6)-MONTH($F36),3)=0)),IF($D36="One-off",($F36&gt;=N$5)*($F36&lt;=N$6),0))))))</f>
        <v>0</v>
      </c>
      <c r="O36" s="19">
        <f>IF(OR($E36="",$F36="",$D36=""),0,IF(OR($C36="Loan and finance repayments",$C36="VAT and taxes",$C36="Capital expenditure",$C36="Licences and regulatory fees"),1,1+CostAdj)*$E36*IF($D36="Weekly",(MAX(0,INT((O$6-$F36)/7)+1)-MAX(0,INT((O$5-1-$F36)/7)+1)),IF($D36="Fortnightly",(MAX(0,INT((O$6-$F36)/14)+1)-MAX(0,INT((O$5-1-$F36)/14)+1)),IF($D36="Monthly",((DATE(YEAR(O$5),MONTH(O$5),MIN(DAY($F36),DAY(EOMONTH(O$5,0))))&gt;=MAX(O$5,$F36))*(DATE(YEAR(O$5),MONTH(O$5),MIN(DAY($F36),DAY(EOMONTH(O$5,0))))&lt;=O$6)*(MOD((YEAR(O$5)-YEAR($F36))*12+MONTH(O$5)-MONTH($F36),1)=0)+(MONTH(O$6)&lt;&gt;MONTH(O$5))*(DATE(YEAR(O$6),MONTH(O$6),MIN(DAY($F36),DAY(EOMONTH(O$6,0))))&gt;=$F36)*(DATE(YEAR(O$6),MONTH(O$6),MIN(DAY($F36),DAY(EOMONTH(O$6,0))))&gt;=O$5)*(DATE(YEAR(O$6),MONTH(O$6),MIN(DAY($F36),DAY(EOMONTH(O$6,0))))&lt;=O$6)*(MOD((YEAR(O$6)-YEAR($F36))*12+MONTH(O$6)-MONTH($F36),1)=0)),IF($D36="Quarterly",((DATE(YEAR(O$5),MONTH(O$5),MIN(DAY($F36),DAY(EOMONTH(O$5,0))))&gt;=MAX(O$5,$F36))*(DATE(YEAR(O$5),MONTH(O$5),MIN(DAY($F36),DAY(EOMONTH(O$5,0))))&lt;=O$6)*(MOD((YEAR(O$5)-YEAR($F36))*12+MONTH(O$5)-MONTH($F36),3)=0)+(MONTH(O$6)&lt;&gt;MONTH(O$5))*(DATE(YEAR(O$6),MONTH(O$6),MIN(DAY($F36),DAY(EOMONTH(O$6,0))))&gt;=$F36)*(DATE(YEAR(O$6),MONTH(O$6),MIN(DAY($F36),DAY(EOMONTH(O$6,0))))&gt;=O$5)*(DATE(YEAR(O$6),MONTH(O$6),MIN(DAY($F36),DAY(EOMONTH(O$6,0))))&lt;=O$6)*(MOD((YEAR(O$6)-YEAR($F36))*12+MONTH(O$6)-MONTH($F36),3)=0)),IF($D36="One-off",($F36&gt;=O$5)*($F36&lt;=O$6),0))))))</f>
        <v>0</v>
      </c>
      <c r="P36" s="19">
        <f>IF(OR($E36="",$F36="",$D36=""),0,IF(OR($C36="Loan and finance repayments",$C36="VAT and taxes",$C36="Capital expenditure",$C36="Licences and regulatory fees"),1,1+CostAdj)*$E36*IF($D36="Weekly",(MAX(0,INT((P$6-$F36)/7)+1)-MAX(0,INT((P$5-1-$F36)/7)+1)),IF($D36="Fortnightly",(MAX(0,INT((P$6-$F36)/14)+1)-MAX(0,INT((P$5-1-$F36)/14)+1)),IF($D36="Monthly",((DATE(YEAR(P$5),MONTH(P$5),MIN(DAY($F36),DAY(EOMONTH(P$5,0))))&gt;=MAX(P$5,$F36))*(DATE(YEAR(P$5),MONTH(P$5),MIN(DAY($F36),DAY(EOMONTH(P$5,0))))&lt;=P$6)*(MOD((YEAR(P$5)-YEAR($F36))*12+MONTH(P$5)-MONTH($F36),1)=0)+(MONTH(P$6)&lt;&gt;MONTH(P$5))*(DATE(YEAR(P$6),MONTH(P$6),MIN(DAY($F36),DAY(EOMONTH(P$6,0))))&gt;=$F36)*(DATE(YEAR(P$6),MONTH(P$6),MIN(DAY($F36),DAY(EOMONTH(P$6,0))))&gt;=P$5)*(DATE(YEAR(P$6),MONTH(P$6),MIN(DAY($F36),DAY(EOMONTH(P$6,0))))&lt;=P$6)*(MOD((YEAR(P$6)-YEAR($F36))*12+MONTH(P$6)-MONTH($F36),1)=0)),IF($D36="Quarterly",((DATE(YEAR(P$5),MONTH(P$5),MIN(DAY($F36),DAY(EOMONTH(P$5,0))))&gt;=MAX(P$5,$F36))*(DATE(YEAR(P$5),MONTH(P$5),MIN(DAY($F36),DAY(EOMONTH(P$5,0))))&lt;=P$6)*(MOD((YEAR(P$5)-YEAR($F36))*12+MONTH(P$5)-MONTH($F36),3)=0)+(MONTH(P$6)&lt;&gt;MONTH(P$5))*(DATE(YEAR(P$6),MONTH(P$6),MIN(DAY($F36),DAY(EOMONTH(P$6,0))))&gt;=$F36)*(DATE(YEAR(P$6),MONTH(P$6),MIN(DAY($F36),DAY(EOMONTH(P$6,0))))&gt;=P$5)*(DATE(YEAR(P$6),MONTH(P$6),MIN(DAY($F36),DAY(EOMONTH(P$6,0))))&lt;=P$6)*(MOD((YEAR(P$6)-YEAR($F36))*12+MONTH(P$6)-MONTH($F36),3)=0)),IF($D36="One-off",($F36&gt;=P$5)*($F36&lt;=P$6),0))))))</f>
        <v>0</v>
      </c>
      <c r="Q36" s="19">
        <f>IF(OR($E36="",$F36="",$D36=""),0,IF(OR($C36="Loan and finance repayments",$C36="VAT and taxes",$C36="Capital expenditure",$C36="Licences and regulatory fees"),1,1+CostAdj)*$E36*IF($D36="Weekly",(MAX(0,INT((Q$6-$F36)/7)+1)-MAX(0,INT((Q$5-1-$F36)/7)+1)),IF($D36="Fortnightly",(MAX(0,INT((Q$6-$F36)/14)+1)-MAX(0,INT((Q$5-1-$F36)/14)+1)),IF($D36="Monthly",((DATE(YEAR(Q$5),MONTH(Q$5),MIN(DAY($F36),DAY(EOMONTH(Q$5,0))))&gt;=MAX(Q$5,$F36))*(DATE(YEAR(Q$5),MONTH(Q$5),MIN(DAY($F36),DAY(EOMONTH(Q$5,0))))&lt;=Q$6)*(MOD((YEAR(Q$5)-YEAR($F36))*12+MONTH(Q$5)-MONTH($F36),1)=0)+(MONTH(Q$6)&lt;&gt;MONTH(Q$5))*(DATE(YEAR(Q$6),MONTH(Q$6),MIN(DAY($F36),DAY(EOMONTH(Q$6,0))))&gt;=$F36)*(DATE(YEAR(Q$6),MONTH(Q$6),MIN(DAY($F36),DAY(EOMONTH(Q$6,0))))&gt;=Q$5)*(DATE(YEAR(Q$6),MONTH(Q$6),MIN(DAY($F36),DAY(EOMONTH(Q$6,0))))&lt;=Q$6)*(MOD((YEAR(Q$6)-YEAR($F36))*12+MONTH(Q$6)-MONTH($F36),1)=0)),IF($D36="Quarterly",((DATE(YEAR(Q$5),MONTH(Q$5),MIN(DAY($F36),DAY(EOMONTH(Q$5,0))))&gt;=MAX(Q$5,$F36))*(DATE(YEAR(Q$5),MONTH(Q$5),MIN(DAY($F36),DAY(EOMONTH(Q$5,0))))&lt;=Q$6)*(MOD((YEAR(Q$5)-YEAR($F36))*12+MONTH(Q$5)-MONTH($F36),3)=0)+(MONTH(Q$6)&lt;&gt;MONTH(Q$5))*(DATE(YEAR(Q$6),MONTH(Q$6),MIN(DAY($F36),DAY(EOMONTH(Q$6,0))))&gt;=$F36)*(DATE(YEAR(Q$6),MONTH(Q$6),MIN(DAY($F36),DAY(EOMONTH(Q$6,0))))&gt;=Q$5)*(DATE(YEAR(Q$6),MONTH(Q$6),MIN(DAY($F36),DAY(EOMONTH(Q$6,0))))&lt;=Q$6)*(MOD((YEAR(Q$6)-YEAR($F36))*12+MONTH(Q$6)-MONTH($F36),3)=0)),IF($D36="One-off",($F36&gt;=Q$5)*($F36&lt;=Q$6),0))))))</f>
        <v>0</v>
      </c>
      <c r="R36" s="19">
        <f>IF(OR($E36="",$F36="",$D36=""),0,IF(OR($C36="Loan and finance repayments",$C36="VAT and taxes",$C36="Capital expenditure",$C36="Licences and regulatory fees"),1,1+CostAdj)*$E36*IF($D36="Weekly",(MAX(0,INT((R$6-$F36)/7)+1)-MAX(0,INT((R$5-1-$F36)/7)+1)),IF($D36="Fortnightly",(MAX(0,INT((R$6-$F36)/14)+1)-MAX(0,INT((R$5-1-$F36)/14)+1)),IF($D36="Monthly",((DATE(YEAR(R$5),MONTH(R$5),MIN(DAY($F36),DAY(EOMONTH(R$5,0))))&gt;=MAX(R$5,$F36))*(DATE(YEAR(R$5),MONTH(R$5),MIN(DAY($F36),DAY(EOMONTH(R$5,0))))&lt;=R$6)*(MOD((YEAR(R$5)-YEAR($F36))*12+MONTH(R$5)-MONTH($F36),1)=0)+(MONTH(R$6)&lt;&gt;MONTH(R$5))*(DATE(YEAR(R$6),MONTH(R$6),MIN(DAY($F36),DAY(EOMONTH(R$6,0))))&gt;=$F36)*(DATE(YEAR(R$6),MONTH(R$6),MIN(DAY($F36),DAY(EOMONTH(R$6,0))))&gt;=R$5)*(DATE(YEAR(R$6),MONTH(R$6),MIN(DAY($F36),DAY(EOMONTH(R$6,0))))&lt;=R$6)*(MOD((YEAR(R$6)-YEAR($F36))*12+MONTH(R$6)-MONTH($F36),1)=0)),IF($D36="Quarterly",((DATE(YEAR(R$5),MONTH(R$5),MIN(DAY($F36),DAY(EOMONTH(R$5,0))))&gt;=MAX(R$5,$F36))*(DATE(YEAR(R$5),MONTH(R$5),MIN(DAY($F36),DAY(EOMONTH(R$5,0))))&lt;=R$6)*(MOD((YEAR(R$5)-YEAR($F36))*12+MONTH(R$5)-MONTH($F36),3)=0)+(MONTH(R$6)&lt;&gt;MONTH(R$5))*(DATE(YEAR(R$6),MONTH(R$6),MIN(DAY($F36),DAY(EOMONTH(R$6,0))))&gt;=$F36)*(DATE(YEAR(R$6),MONTH(R$6),MIN(DAY($F36),DAY(EOMONTH(R$6,0))))&gt;=R$5)*(DATE(YEAR(R$6),MONTH(R$6),MIN(DAY($F36),DAY(EOMONTH(R$6,0))))&lt;=R$6)*(MOD((YEAR(R$6)-YEAR($F36))*12+MONTH(R$6)-MONTH($F36),3)=0)),IF($D36="One-off",($F36&gt;=R$5)*($F36&lt;=R$6),0))))))</f>
        <v>0</v>
      </c>
      <c r="S36" s="19">
        <f>IF(OR($E36="",$F36="",$D36=""),0,IF(OR($C36="Loan and finance repayments",$C36="VAT and taxes",$C36="Capital expenditure",$C36="Licences and regulatory fees"),1,1+CostAdj)*$E36*IF($D36="Weekly",(MAX(0,INT((S$6-$F36)/7)+1)-MAX(0,INT((S$5-1-$F36)/7)+1)),IF($D36="Fortnightly",(MAX(0,INT((S$6-$F36)/14)+1)-MAX(0,INT((S$5-1-$F36)/14)+1)),IF($D36="Monthly",((DATE(YEAR(S$5),MONTH(S$5),MIN(DAY($F36),DAY(EOMONTH(S$5,0))))&gt;=MAX(S$5,$F36))*(DATE(YEAR(S$5),MONTH(S$5),MIN(DAY($F36),DAY(EOMONTH(S$5,0))))&lt;=S$6)*(MOD((YEAR(S$5)-YEAR($F36))*12+MONTH(S$5)-MONTH($F36),1)=0)+(MONTH(S$6)&lt;&gt;MONTH(S$5))*(DATE(YEAR(S$6),MONTH(S$6),MIN(DAY($F36),DAY(EOMONTH(S$6,0))))&gt;=$F36)*(DATE(YEAR(S$6),MONTH(S$6),MIN(DAY($F36),DAY(EOMONTH(S$6,0))))&gt;=S$5)*(DATE(YEAR(S$6),MONTH(S$6),MIN(DAY($F36),DAY(EOMONTH(S$6,0))))&lt;=S$6)*(MOD((YEAR(S$6)-YEAR($F36))*12+MONTH(S$6)-MONTH($F36),1)=0)),IF($D36="Quarterly",((DATE(YEAR(S$5),MONTH(S$5),MIN(DAY($F36),DAY(EOMONTH(S$5,0))))&gt;=MAX(S$5,$F36))*(DATE(YEAR(S$5),MONTH(S$5),MIN(DAY($F36),DAY(EOMONTH(S$5,0))))&lt;=S$6)*(MOD((YEAR(S$5)-YEAR($F36))*12+MONTH(S$5)-MONTH($F36),3)=0)+(MONTH(S$6)&lt;&gt;MONTH(S$5))*(DATE(YEAR(S$6),MONTH(S$6),MIN(DAY($F36),DAY(EOMONTH(S$6,0))))&gt;=$F36)*(DATE(YEAR(S$6),MONTH(S$6),MIN(DAY($F36),DAY(EOMONTH(S$6,0))))&gt;=S$5)*(DATE(YEAR(S$6),MONTH(S$6),MIN(DAY($F36),DAY(EOMONTH(S$6,0))))&lt;=S$6)*(MOD((YEAR(S$6)-YEAR($F36))*12+MONTH(S$6)-MONTH($F36),3)=0)),IF($D36="One-off",($F36&gt;=S$5)*($F36&lt;=S$6),0))))))</f>
        <v>0</v>
      </c>
      <c r="T36" s="19">
        <f>IF(OR($E36="",$F36="",$D36=""),0,IF(OR($C36="Loan and finance repayments",$C36="VAT and taxes",$C36="Capital expenditure",$C36="Licences and regulatory fees"),1,1+CostAdj)*$E36*IF($D36="Weekly",(MAX(0,INT((T$6-$F36)/7)+1)-MAX(0,INT((T$5-1-$F36)/7)+1)),IF($D36="Fortnightly",(MAX(0,INT((T$6-$F36)/14)+1)-MAX(0,INT((T$5-1-$F36)/14)+1)),IF($D36="Monthly",((DATE(YEAR(T$5),MONTH(T$5),MIN(DAY($F36),DAY(EOMONTH(T$5,0))))&gt;=MAX(T$5,$F36))*(DATE(YEAR(T$5),MONTH(T$5),MIN(DAY($F36),DAY(EOMONTH(T$5,0))))&lt;=T$6)*(MOD((YEAR(T$5)-YEAR($F36))*12+MONTH(T$5)-MONTH($F36),1)=0)+(MONTH(T$6)&lt;&gt;MONTH(T$5))*(DATE(YEAR(T$6),MONTH(T$6),MIN(DAY($F36),DAY(EOMONTH(T$6,0))))&gt;=$F36)*(DATE(YEAR(T$6),MONTH(T$6),MIN(DAY($F36),DAY(EOMONTH(T$6,0))))&gt;=T$5)*(DATE(YEAR(T$6),MONTH(T$6),MIN(DAY($F36),DAY(EOMONTH(T$6,0))))&lt;=T$6)*(MOD((YEAR(T$6)-YEAR($F36))*12+MONTH(T$6)-MONTH($F36),1)=0)),IF($D36="Quarterly",((DATE(YEAR(T$5),MONTH(T$5),MIN(DAY($F36),DAY(EOMONTH(T$5,0))))&gt;=MAX(T$5,$F36))*(DATE(YEAR(T$5),MONTH(T$5),MIN(DAY($F36),DAY(EOMONTH(T$5,0))))&lt;=T$6)*(MOD((YEAR(T$5)-YEAR($F36))*12+MONTH(T$5)-MONTH($F36),3)=0)+(MONTH(T$6)&lt;&gt;MONTH(T$5))*(DATE(YEAR(T$6),MONTH(T$6),MIN(DAY($F36),DAY(EOMONTH(T$6,0))))&gt;=$F36)*(DATE(YEAR(T$6),MONTH(T$6),MIN(DAY($F36),DAY(EOMONTH(T$6,0))))&gt;=T$5)*(DATE(YEAR(T$6),MONTH(T$6),MIN(DAY($F36),DAY(EOMONTH(T$6,0))))&lt;=T$6)*(MOD((YEAR(T$6)-YEAR($F36))*12+MONTH(T$6)-MONTH($F36),3)=0)),IF($D36="One-off",($F36&gt;=T$5)*($F36&lt;=T$6),0))))))</f>
        <v>0</v>
      </c>
      <c r="U36" s="36">
        <f>SUM(H36:T36)</f>
        <v>0</v>
      </c>
    </row>
    <row r="37" spans="1:21">
      <c r="A37" s="42">
        <v>29</v>
      </c>
      <c r="B37" s="7"/>
      <c r="C37" s="7"/>
      <c r="D37" s="7"/>
      <c r="E37" s="18"/>
      <c r="F37" s="17"/>
      <c r="G37" s="7"/>
      <c r="H37" s="19">
        <f>IF(OR($E37="",$F37="",$D37=""),0,IF(OR($C37="Loan and finance repayments",$C37="VAT and taxes",$C37="Capital expenditure",$C37="Licences and regulatory fees"),1,1+CostAdj)*$E37*IF($D37="Weekly",(MAX(0,INT((H$6-$F37)/7)+1)-MAX(0,INT((H$5-1-$F37)/7)+1)),IF($D37="Fortnightly",(MAX(0,INT((H$6-$F37)/14)+1)-MAX(0,INT((H$5-1-$F37)/14)+1)),IF($D37="Monthly",((DATE(YEAR(H$5),MONTH(H$5),MIN(DAY($F37),DAY(EOMONTH(H$5,0))))&gt;=MAX(H$5,$F37))*(DATE(YEAR(H$5),MONTH(H$5),MIN(DAY($F37),DAY(EOMONTH(H$5,0))))&lt;=H$6)*(MOD((YEAR(H$5)-YEAR($F37))*12+MONTH(H$5)-MONTH($F37),1)=0)+(MONTH(H$6)&lt;&gt;MONTH(H$5))*(DATE(YEAR(H$6),MONTH(H$6),MIN(DAY($F37),DAY(EOMONTH(H$6,0))))&gt;=$F37)*(DATE(YEAR(H$6),MONTH(H$6),MIN(DAY($F37),DAY(EOMONTH(H$6,0))))&gt;=H$5)*(DATE(YEAR(H$6),MONTH(H$6),MIN(DAY($F37),DAY(EOMONTH(H$6,0))))&lt;=H$6)*(MOD((YEAR(H$6)-YEAR($F37))*12+MONTH(H$6)-MONTH($F37),1)=0)),IF($D37="Quarterly",((DATE(YEAR(H$5),MONTH(H$5),MIN(DAY($F37),DAY(EOMONTH(H$5,0))))&gt;=MAX(H$5,$F37))*(DATE(YEAR(H$5),MONTH(H$5),MIN(DAY($F37),DAY(EOMONTH(H$5,0))))&lt;=H$6)*(MOD((YEAR(H$5)-YEAR($F37))*12+MONTH(H$5)-MONTH($F37),3)=0)+(MONTH(H$6)&lt;&gt;MONTH(H$5))*(DATE(YEAR(H$6),MONTH(H$6),MIN(DAY($F37),DAY(EOMONTH(H$6,0))))&gt;=$F37)*(DATE(YEAR(H$6),MONTH(H$6),MIN(DAY($F37),DAY(EOMONTH(H$6,0))))&gt;=H$5)*(DATE(YEAR(H$6),MONTH(H$6),MIN(DAY($F37),DAY(EOMONTH(H$6,0))))&lt;=H$6)*(MOD((YEAR(H$6)-YEAR($F37))*12+MONTH(H$6)-MONTH($F37),3)=0)),IF($D37="One-off",($F37&gt;=H$5)*($F37&lt;=H$6),0))))))</f>
        <v>0</v>
      </c>
      <c r="I37" s="19">
        <f>IF(OR($E37="",$F37="",$D37=""),0,IF(OR($C37="Loan and finance repayments",$C37="VAT and taxes",$C37="Capital expenditure",$C37="Licences and regulatory fees"),1,1+CostAdj)*$E37*IF($D37="Weekly",(MAX(0,INT((I$6-$F37)/7)+1)-MAX(0,INT((I$5-1-$F37)/7)+1)),IF($D37="Fortnightly",(MAX(0,INT((I$6-$F37)/14)+1)-MAX(0,INT((I$5-1-$F37)/14)+1)),IF($D37="Monthly",((DATE(YEAR(I$5),MONTH(I$5),MIN(DAY($F37),DAY(EOMONTH(I$5,0))))&gt;=MAX(I$5,$F37))*(DATE(YEAR(I$5),MONTH(I$5),MIN(DAY($F37),DAY(EOMONTH(I$5,0))))&lt;=I$6)*(MOD((YEAR(I$5)-YEAR($F37))*12+MONTH(I$5)-MONTH($F37),1)=0)+(MONTH(I$6)&lt;&gt;MONTH(I$5))*(DATE(YEAR(I$6),MONTH(I$6),MIN(DAY($F37),DAY(EOMONTH(I$6,0))))&gt;=$F37)*(DATE(YEAR(I$6),MONTH(I$6),MIN(DAY($F37),DAY(EOMONTH(I$6,0))))&gt;=I$5)*(DATE(YEAR(I$6),MONTH(I$6),MIN(DAY($F37),DAY(EOMONTH(I$6,0))))&lt;=I$6)*(MOD((YEAR(I$6)-YEAR($F37))*12+MONTH(I$6)-MONTH($F37),1)=0)),IF($D37="Quarterly",((DATE(YEAR(I$5),MONTH(I$5),MIN(DAY($F37),DAY(EOMONTH(I$5,0))))&gt;=MAX(I$5,$F37))*(DATE(YEAR(I$5),MONTH(I$5),MIN(DAY($F37),DAY(EOMONTH(I$5,0))))&lt;=I$6)*(MOD((YEAR(I$5)-YEAR($F37))*12+MONTH(I$5)-MONTH($F37),3)=0)+(MONTH(I$6)&lt;&gt;MONTH(I$5))*(DATE(YEAR(I$6),MONTH(I$6),MIN(DAY($F37),DAY(EOMONTH(I$6,0))))&gt;=$F37)*(DATE(YEAR(I$6),MONTH(I$6),MIN(DAY($F37),DAY(EOMONTH(I$6,0))))&gt;=I$5)*(DATE(YEAR(I$6),MONTH(I$6),MIN(DAY($F37),DAY(EOMONTH(I$6,0))))&lt;=I$6)*(MOD((YEAR(I$6)-YEAR($F37))*12+MONTH(I$6)-MONTH($F37),3)=0)),IF($D37="One-off",($F37&gt;=I$5)*($F37&lt;=I$6),0))))))</f>
        <v>0</v>
      </c>
      <c r="J37" s="19">
        <f>IF(OR($E37="",$F37="",$D37=""),0,IF(OR($C37="Loan and finance repayments",$C37="VAT and taxes",$C37="Capital expenditure",$C37="Licences and regulatory fees"),1,1+CostAdj)*$E37*IF($D37="Weekly",(MAX(0,INT((J$6-$F37)/7)+1)-MAX(0,INT((J$5-1-$F37)/7)+1)),IF($D37="Fortnightly",(MAX(0,INT((J$6-$F37)/14)+1)-MAX(0,INT((J$5-1-$F37)/14)+1)),IF($D37="Monthly",((DATE(YEAR(J$5),MONTH(J$5),MIN(DAY($F37),DAY(EOMONTH(J$5,0))))&gt;=MAX(J$5,$F37))*(DATE(YEAR(J$5),MONTH(J$5),MIN(DAY($F37),DAY(EOMONTH(J$5,0))))&lt;=J$6)*(MOD((YEAR(J$5)-YEAR($F37))*12+MONTH(J$5)-MONTH($F37),1)=0)+(MONTH(J$6)&lt;&gt;MONTH(J$5))*(DATE(YEAR(J$6),MONTH(J$6),MIN(DAY($F37),DAY(EOMONTH(J$6,0))))&gt;=$F37)*(DATE(YEAR(J$6),MONTH(J$6),MIN(DAY($F37),DAY(EOMONTH(J$6,0))))&gt;=J$5)*(DATE(YEAR(J$6),MONTH(J$6),MIN(DAY($F37),DAY(EOMONTH(J$6,0))))&lt;=J$6)*(MOD((YEAR(J$6)-YEAR($F37))*12+MONTH(J$6)-MONTH($F37),1)=0)),IF($D37="Quarterly",((DATE(YEAR(J$5),MONTH(J$5),MIN(DAY($F37),DAY(EOMONTH(J$5,0))))&gt;=MAX(J$5,$F37))*(DATE(YEAR(J$5),MONTH(J$5),MIN(DAY($F37),DAY(EOMONTH(J$5,0))))&lt;=J$6)*(MOD((YEAR(J$5)-YEAR($F37))*12+MONTH(J$5)-MONTH($F37),3)=0)+(MONTH(J$6)&lt;&gt;MONTH(J$5))*(DATE(YEAR(J$6),MONTH(J$6),MIN(DAY($F37),DAY(EOMONTH(J$6,0))))&gt;=$F37)*(DATE(YEAR(J$6),MONTH(J$6),MIN(DAY($F37),DAY(EOMONTH(J$6,0))))&gt;=J$5)*(DATE(YEAR(J$6),MONTH(J$6),MIN(DAY($F37),DAY(EOMONTH(J$6,0))))&lt;=J$6)*(MOD((YEAR(J$6)-YEAR($F37))*12+MONTH(J$6)-MONTH($F37),3)=0)),IF($D37="One-off",($F37&gt;=J$5)*($F37&lt;=J$6),0))))))</f>
        <v>0</v>
      </c>
      <c r="K37" s="19">
        <f>IF(OR($E37="",$F37="",$D37=""),0,IF(OR($C37="Loan and finance repayments",$C37="VAT and taxes",$C37="Capital expenditure",$C37="Licences and regulatory fees"),1,1+CostAdj)*$E37*IF($D37="Weekly",(MAX(0,INT((K$6-$F37)/7)+1)-MAX(0,INT((K$5-1-$F37)/7)+1)),IF($D37="Fortnightly",(MAX(0,INT((K$6-$F37)/14)+1)-MAX(0,INT((K$5-1-$F37)/14)+1)),IF($D37="Monthly",((DATE(YEAR(K$5),MONTH(K$5),MIN(DAY($F37),DAY(EOMONTH(K$5,0))))&gt;=MAX(K$5,$F37))*(DATE(YEAR(K$5),MONTH(K$5),MIN(DAY($F37),DAY(EOMONTH(K$5,0))))&lt;=K$6)*(MOD((YEAR(K$5)-YEAR($F37))*12+MONTH(K$5)-MONTH($F37),1)=0)+(MONTH(K$6)&lt;&gt;MONTH(K$5))*(DATE(YEAR(K$6),MONTH(K$6),MIN(DAY($F37),DAY(EOMONTH(K$6,0))))&gt;=$F37)*(DATE(YEAR(K$6),MONTH(K$6),MIN(DAY($F37),DAY(EOMONTH(K$6,0))))&gt;=K$5)*(DATE(YEAR(K$6),MONTH(K$6),MIN(DAY($F37),DAY(EOMONTH(K$6,0))))&lt;=K$6)*(MOD((YEAR(K$6)-YEAR($F37))*12+MONTH(K$6)-MONTH($F37),1)=0)),IF($D37="Quarterly",((DATE(YEAR(K$5),MONTH(K$5),MIN(DAY($F37),DAY(EOMONTH(K$5,0))))&gt;=MAX(K$5,$F37))*(DATE(YEAR(K$5),MONTH(K$5),MIN(DAY($F37),DAY(EOMONTH(K$5,0))))&lt;=K$6)*(MOD((YEAR(K$5)-YEAR($F37))*12+MONTH(K$5)-MONTH($F37),3)=0)+(MONTH(K$6)&lt;&gt;MONTH(K$5))*(DATE(YEAR(K$6),MONTH(K$6),MIN(DAY($F37),DAY(EOMONTH(K$6,0))))&gt;=$F37)*(DATE(YEAR(K$6),MONTH(K$6),MIN(DAY($F37),DAY(EOMONTH(K$6,0))))&gt;=K$5)*(DATE(YEAR(K$6),MONTH(K$6),MIN(DAY($F37),DAY(EOMONTH(K$6,0))))&lt;=K$6)*(MOD((YEAR(K$6)-YEAR($F37))*12+MONTH(K$6)-MONTH($F37),3)=0)),IF($D37="One-off",($F37&gt;=K$5)*($F37&lt;=K$6),0))))))</f>
        <v>0</v>
      </c>
      <c r="L37" s="19">
        <f>IF(OR($E37="",$F37="",$D37=""),0,IF(OR($C37="Loan and finance repayments",$C37="VAT and taxes",$C37="Capital expenditure",$C37="Licences and regulatory fees"),1,1+CostAdj)*$E37*IF($D37="Weekly",(MAX(0,INT((L$6-$F37)/7)+1)-MAX(0,INT((L$5-1-$F37)/7)+1)),IF($D37="Fortnightly",(MAX(0,INT((L$6-$F37)/14)+1)-MAX(0,INT((L$5-1-$F37)/14)+1)),IF($D37="Monthly",((DATE(YEAR(L$5),MONTH(L$5),MIN(DAY($F37),DAY(EOMONTH(L$5,0))))&gt;=MAX(L$5,$F37))*(DATE(YEAR(L$5),MONTH(L$5),MIN(DAY($F37),DAY(EOMONTH(L$5,0))))&lt;=L$6)*(MOD((YEAR(L$5)-YEAR($F37))*12+MONTH(L$5)-MONTH($F37),1)=0)+(MONTH(L$6)&lt;&gt;MONTH(L$5))*(DATE(YEAR(L$6),MONTH(L$6),MIN(DAY($F37),DAY(EOMONTH(L$6,0))))&gt;=$F37)*(DATE(YEAR(L$6),MONTH(L$6),MIN(DAY($F37),DAY(EOMONTH(L$6,0))))&gt;=L$5)*(DATE(YEAR(L$6),MONTH(L$6),MIN(DAY($F37),DAY(EOMONTH(L$6,0))))&lt;=L$6)*(MOD((YEAR(L$6)-YEAR($F37))*12+MONTH(L$6)-MONTH($F37),1)=0)),IF($D37="Quarterly",((DATE(YEAR(L$5),MONTH(L$5),MIN(DAY($F37),DAY(EOMONTH(L$5,0))))&gt;=MAX(L$5,$F37))*(DATE(YEAR(L$5),MONTH(L$5),MIN(DAY($F37),DAY(EOMONTH(L$5,0))))&lt;=L$6)*(MOD((YEAR(L$5)-YEAR($F37))*12+MONTH(L$5)-MONTH($F37),3)=0)+(MONTH(L$6)&lt;&gt;MONTH(L$5))*(DATE(YEAR(L$6),MONTH(L$6),MIN(DAY($F37),DAY(EOMONTH(L$6,0))))&gt;=$F37)*(DATE(YEAR(L$6),MONTH(L$6),MIN(DAY($F37),DAY(EOMONTH(L$6,0))))&gt;=L$5)*(DATE(YEAR(L$6),MONTH(L$6),MIN(DAY($F37),DAY(EOMONTH(L$6,0))))&lt;=L$6)*(MOD((YEAR(L$6)-YEAR($F37))*12+MONTH(L$6)-MONTH($F37),3)=0)),IF($D37="One-off",($F37&gt;=L$5)*($F37&lt;=L$6),0))))))</f>
        <v>0</v>
      </c>
      <c r="M37" s="19">
        <f>IF(OR($E37="",$F37="",$D37=""),0,IF(OR($C37="Loan and finance repayments",$C37="VAT and taxes",$C37="Capital expenditure",$C37="Licences and regulatory fees"),1,1+CostAdj)*$E37*IF($D37="Weekly",(MAX(0,INT((M$6-$F37)/7)+1)-MAX(0,INT((M$5-1-$F37)/7)+1)),IF($D37="Fortnightly",(MAX(0,INT((M$6-$F37)/14)+1)-MAX(0,INT((M$5-1-$F37)/14)+1)),IF($D37="Monthly",((DATE(YEAR(M$5),MONTH(M$5),MIN(DAY($F37),DAY(EOMONTH(M$5,0))))&gt;=MAX(M$5,$F37))*(DATE(YEAR(M$5),MONTH(M$5),MIN(DAY($F37),DAY(EOMONTH(M$5,0))))&lt;=M$6)*(MOD((YEAR(M$5)-YEAR($F37))*12+MONTH(M$5)-MONTH($F37),1)=0)+(MONTH(M$6)&lt;&gt;MONTH(M$5))*(DATE(YEAR(M$6),MONTH(M$6),MIN(DAY($F37),DAY(EOMONTH(M$6,0))))&gt;=$F37)*(DATE(YEAR(M$6),MONTH(M$6),MIN(DAY($F37),DAY(EOMONTH(M$6,0))))&gt;=M$5)*(DATE(YEAR(M$6),MONTH(M$6),MIN(DAY($F37),DAY(EOMONTH(M$6,0))))&lt;=M$6)*(MOD((YEAR(M$6)-YEAR($F37))*12+MONTH(M$6)-MONTH($F37),1)=0)),IF($D37="Quarterly",((DATE(YEAR(M$5),MONTH(M$5),MIN(DAY($F37),DAY(EOMONTH(M$5,0))))&gt;=MAX(M$5,$F37))*(DATE(YEAR(M$5),MONTH(M$5),MIN(DAY($F37),DAY(EOMONTH(M$5,0))))&lt;=M$6)*(MOD((YEAR(M$5)-YEAR($F37))*12+MONTH(M$5)-MONTH($F37),3)=0)+(MONTH(M$6)&lt;&gt;MONTH(M$5))*(DATE(YEAR(M$6),MONTH(M$6),MIN(DAY($F37),DAY(EOMONTH(M$6,0))))&gt;=$F37)*(DATE(YEAR(M$6),MONTH(M$6),MIN(DAY($F37),DAY(EOMONTH(M$6,0))))&gt;=M$5)*(DATE(YEAR(M$6),MONTH(M$6),MIN(DAY($F37),DAY(EOMONTH(M$6,0))))&lt;=M$6)*(MOD((YEAR(M$6)-YEAR($F37))*12+MONTH(M$6)-MONTH($F37),3)=0)),IF($D37="One-off",($F37&gt;=M$5)*($F37&lt;=M$6),0))))))</f>
        <v>0</v>
      </c>
      <c r="N37" s="19">
        <f>IF(OR($E37="",$F37="",$D37=""),0,IF(OR($C37="Loan and finance repayments",$C37="VAT and taxes",$C37="Capital expenditure",$C37="Licences and regulatory fees"),1,1+CostAdj)*$E37*IF($D37="Weekly",(MAX(0,INT((N$6-$F37)/7)+1)-MAX(0,INT((N$5-1-$F37)/7)+1)),IF($D37="Fortnightly",(MAX(0,INT((N$6-$F37)/14)+1)-MAX(0,INT((N$5-1-$F37)/14)+1)),IF($D37="Monthly",((DATE(YEAR(N$5),MONTH(N$5),MIN(DAY($F37),DAY(EOMONTH(N$5,0))))&gt;=MAX(N$5,$F37))*(DATE(YEAR(N$5),MONTH(N$5),MIN(DAY($F37),DAY(EOMONTH(N$5,0))))&lt;=N$6)*(MOD((YEAR(N$5)-YEAR($F37))*12+MONTH(N$5)-MONTH($F37),1)=0)+(MONTH(N$6)&lt;&gt;MONTH(N$5))*(DATE(YEAR(N$6),MONTH(N$6),MIN(DAY($F37),DAY(EOMONTH(N$6,0))))&gt;=$F37)*(DATE(YEAR(N$6),MONTH(N$6),MIN(DAY($F37),DAY(EOMONTH(N$6,0))))&gt;=N$5)*(DATE(YEAR(N$6),MONTH(N$6),MIN(DAY($F37),DAY(EOMONTH(N$6,0))))&lt;=N$6)*(MOD((YEAR(N$6)-YEAR($F37))*12+MONTH(N$6)-MONTH($F37),1)=0)),IF($D37="Quarterly",((DATE(YEAR(N$5),MONTH(N$5),MIN(DAY($F37),DAY(EOMONTH(N$5,0))))&gt;=MAX(N$5,$F37))*(DATE(YEAR(N$5),MONTH(N$5),MIN(DAY($F37),DAY(EOMONTH(N$5,0))))&lt;=N$6)*(MOD((YEAR(N$5)-YEAR($F37))*12+MONTH(N$5)-MONTH($F37),3)=0)+(MONTH(N$6)&lt;&gt;MONTH(N$5))*(DATE(YEAR(N$6),MONTH(N$6),MIN(DAY($F37),DAY(EOMONTH(N$6,0))))&gt;=$F37)*(DATE(YEAR(N$6),MONTH(N$6),MIN(DAY($F37),DAY(EOMONTH(N$6,0))))&gt;=N$5)*(DATE(YEAR(N$6),MONTH(N$6),MIN(DAY($F37),DAY(EOMONTH(N$6,0))))&lt;=N$6)*(MOD((YEAR(N$6)-YEAR($F37))*12+MONTH(N$6)-MONTH($F37),3)=0)),IF($D37="One-off",($F37&gt;=N$5)*($F37&lt;=N$6),0))))))</f>
        <v>0</v>
      </c>
      <c r="O37" s="19">
        <f>IF(OR($E37="",$F37="",$D37=""),0,IF(OR($C37="Loan and finance repayments",$C37="VAT and taxes",$C37="Capital expenditure",$C37="Licences and regulatory fees"),1,1+CostAdj)*$E37*IF($D37="Weekly",(MAX(0,INT((O$6-$F37)/7)+1)-MAX(0,INT((O$5-1-$F37)/7)+1)),IF($D37="Fortnightly",(MAX(0,INT((O$6-$F37)/14)+1)-MAX(0,INT((O$5-1-$F37)/14)+1)),IF($D37="Monthly",((DATE(YEAR(O$5),MONTH(O$5),MIN(DAY($F37),DAY(EOMONTH(O$5,0))))&gt;=MAX(O$5,$F37))*(DATE(YEAR(O$5),MONTH(O$5),MIN(DAY($F37),DAY(EOMONTH(O$5,0))))&lt;=O$6)*(MOD((YEAR(O$5)-YEAR($F37))*12+MONTH(O$5)-MONTH($F37),1)=0)+(MONTH(O$6)&lt;&gt;MONTH(O$5))*(DATE(YEAR(O$6),MONTH(O$6),MIN(DAY($F37),DAY(EOMONTH(O$6,0))))&gt;=$F37)*(DATE(YEAR(O$6),MONTH(O$6),MIN(DAY($F37),DAY(EOMONTH(O$6,0))))&gt;=O$5)*(DATE(YEAR(O$6),MONTH(O$6),MIN(DAY($F37),DAY(EOMONTH(O$6,0))))&lt;=O$6)*(MOD((YEAR(O$6)-YEAR($F37))*12+MONTH(O$6)-MONTH($F37),1)=0)),IF($D37="Quarterly",((DATE(YEAR(O$5),MONTH(O$5),MIN(DAY($F37),DAY(EOMONTH(O$5,0))))&gt;=MAX(O$5,$F37))*(DATE(YEAR(O$5),MONTH(O$5),MIN(DAY($F37),DAY(EOMONTH(O$5,0))))&lt;=O$6)*(MOD((YEAR(O$5)-YEAR($F37))*12+MONTH(O$5)-MONTH($F37),3)=0)+(MONTH(O$6)&lt;&gt;MONTH(O$5))*(DATE(YEAR(O$6),MONTH(O$6),MIN(DAY($F37),DAY(EOMONTH(O$6,0))))&gt;=$F37)*(DATE(YEAR(O$6),MONTH(O$6),MIN(DAY($F37),DAY(EOMONTH(O$6,0))))&gt;=O$5)*(DATE(YEAR(O$6),MONTH(O$6),MIN(DAY($F37),DAY(EOMONTH(O$6,0))))&lt;=O$6)*(MOD((YEAR(O$6)-YEAR($F37))*12+MONTH(O$6)-MONTH($F37),3)=0)),IF($D37="One-off",($F37&gt;=O$5)*($F37&lt;=O$6),0))))))</f>
        <v>0</v>
      </c>
      <c r="P37" s="19">
        <f>IF(OR($E37="",$F37="",$D37=""),0,IF(OR($C37="Loan and finance repayments",$C37="VAT and taxes",$C37="Capital expenditure",$C37="Licences and regulatory fees"),1,1+CostAdj)*$E37*IF($D37="Weekly",(MAX(0,INT((P$6-$F37)/7)+1)-MAX(0,INT((P$5-1-$F37)/7)+1)),IF($D37="Fortnightly",(MAX(0,INT((P$6-$F37)/14)+1)-MAX(0,INT((P$5-1-$F37)/14)+1)),IF($D37="Monthly",((DATE(YEAR(P$5),MONTH(P$5),MIN(DAY($F37),DAY(EOMONTH(P$5,0))))&gt;=MAX(P$5,$F37))*(DATE(YEAR(P$5),MONTH(P$5),MIN(DAY($F37),DAY(EOMONTH(P$5,0))))&lt;=P$6)*(MOD((YEAR(P$5)-YEAR($F37))*12+MONTH(P$5)-MONTH($F37),1)=0)+(MONTH(P$6)&lt;&gt;MONTH(P$5))*(DATE(YEAR(P$6),MONTH(P$6),MIN(DAY($F37),DAY(EOMONTH(P$6,0))))&gt;=$F37)*(DATE(YEAR(P$6),MONTH(P$6),MIN(DAY($F37),DAY(EOMONTH(P$6,0))))&gt;=P$5)*(DATE(YEAR(P$6),MONTH(P$6),MIN(DAY($F37),DAY(EOMONTH(P$6,0))))&lt;=P$6)*(MOD((YEAR(P$6)-YEAR($F37))*12+MONTH(P$6)-MONTH($F37),1)=0)),IF($D37="Quarterly",((DATE(YEAR(P$5),MONTH(P$5),MIN(DAY($F37),DAY(EOMONTH(P$5,0))))&gt;=MAX(P$5,$F37))*(DATE(YEAR(P$5),MONTH(P$5),MIN(DAY($F37),DAY(EOMONTH(P$5,0))))&lt;=P$6)*(MOD((YEAR(P$5)-YEAR($F37))*12+MONTH(P$5)-MONTH($F37),3)=0)+(MONTH(P$6)&lt;&gt;MONTH(P$5))*(DATE(YEAR(P$6),MONTH(P$6),MIN(DAY($F37),DAY(EOMONTH(P$6,0))))&gt;=$F37)*(DATE(YEAR(P$6),MONTH(P$6),MIN(DAY($F37),DAY(EOMONTH(P$6,0))))&gt;=P$5)*(DATE(YEAR(P$6),MONTH(P$6),MIN(DAY($F37),DAY(EOMONTH(P$6,0))))&lt;=P$6)*(MOD((YEAR(P$6)-YEAR($F37))*12+MONTH(P$6)-MONTH($F37),3)=0)),IF($D37="One-off",($F37&gt;=P$5)*($F37&lt;=P$6),0))))))</f>
        <v>0</v>
      </c>
      <c r="Q37" s="19">
        <f>IF(OR($E37="",$F37="",$D37=""),0,IF(OR($C37="Loan and finance repayments",$C37="VAT and taxes",$C37="Capital expenditure",$C37="Licences and regulatory fees"),1,1+CostAdj)*$E37*IF($D37="Weekly",(MAX(0,INT((Q$6-$F37)/7)+1)-MAX(0,INT((Q$5-1-$F37)/7)+1)),IF($D37="Fortnightly",(MAX(0,INT((Q$6-$F37)/14)+1)-MAX(0,INT((Q$5-1-$F37)/14)+1)),IF($D37="Monthly",((DATE(YEAR(Q$5),MONTH(Q$5),MIN(DAY($F37),DAY(EOMONTH(Q$5,0))))&gt;=MAX(Q$5,$F37))*(DATE(YEAR(Q$5),MONTH(Q$5),MIN(DAY($F37),DAY(EOMONTH(Q$5,0))))&lt;=Q$6)*(MOD((YEAR(Q$5)-YEAR($F37))*12+MONTH(Q$5)-MONTH($F37),1)=0)+(MONTH(Q$6)&lt;&gt;MONTH(Q$5))*(DATE(YEAR(Q$6),MONTH(Q$6),MIN(DAY($F37),DAY(EOMONTH(Q$6,0))))&gt;=$F37)*(DATE(YEAR(Q$6),MONTH(Q$6),MIN(DAY($F37),DAY(EOMONTH(Q$6,0))))&gt;=Q$5)*(DATE(YEAR(Q$6),MONTH(Q$6),MIN(DAY($F37),DAY(EOMONTH(Q$6,0))))&lt;=Q$6)*(MOD((YEAR(Q$6)-YEAR($F37))*12+MONTH(Q$6)-MONTH($F37),1)=0)),IF($D37="Quarterly",((DATE(YEAR(Q$5),MONTH(Q$5),MIN(DAY($F37),DAY(EOMONTH(Q$5,0))))&gt;=MAX(Q$5,$F37))*(DATE(YEAR(Q$5),MONTH(Q$5),MIN(DAY($F37),DAY(EOMONTH(Q$5,0))))&lt;=Q$6)*(MOD((YEAR(Q$5)-YEAR($F37))*12+MONTH(Q$5)-MONTH($F37),3)=0)+(MONTH(Q$6)&lt;&gt;MONTH(Q$5))*(DATE(YEAR(Q$6),MONTH(Q$6),MIN(DAY($F37),DAY(EOMONTH(Q$6,0))))&gt;=$F37)*(DATE(YEAR(Q$6),MONTH(Q$6),MIN(DAY($F37),DAY(EOMONTH(Q$6,0))))&gt;=Q$5)*(DATE(YEAR(Q$6),MONTH(Q$6),MIN(DAY($F37),DAY(EOMONTH(Q$6,0))))&lt;=Q$6)*(MOD((YEAR(Q$6)-YEAR($F37))*12+MONTH(Q$6)-MONTH($F37),3)=0)),IF($D37="One-off",($F37&gt;=Q$5)*($F37&lt;=Q$6),0))))))</f>
        <v>0</v>
      </c>
      <c r="R37" s="19">
        <f>IF(OR($E37="",$F37="",$D37=""),0,IF(OR($C37="Loan and finance repayments",$C37="VAT and taxes",$C37="Capital expenditure",$C37="Licences and regulatory fees"),1,1+CostAdj)*$E37*IF($D37="Weekly",(MAX(0,INT((R$6-$F37)/7)+1)-MAX(0,INT((R$5-1-$F37)/7)+1)),IF($D37="Fortnightly",(MAX(0,INT((R$6-$F37)/14)+1)-MAX(0,INT((R$5-1-$F37)/14)+1)),IF($D37="Monthly",((DATE(YEAR(R$5),MONTH(R$5),MIN(DAY($F37),DAY(EOMONTH(R$5,0))))&gt;=MAX(R$5,$F37))*(DATE(YEAR(R$5),MONTH(R$5),MIN(DAY($F37),DAY(EOMONTH(R$5,0))))&lt;=R$6)*(MOD((YEAR(R$5)-YEAR($F37))*12+MONTH(R$5)-MONTH($F37),1)=0)+(MONTH(R$6)&lt;&gt;MONTH(R$5))*(DATE(YEAR(R$6),MONTH(R$6),MIN(DAY($F37),DAY(EOMONTH(R$6,0))))&gt;=$F37)*(DATE(YEAR(R$6),MONTH(R$6),MIN(DAY($F37),DAY(EOMONTH(R$6,0))))&gt;=R$5)*(DATE(YEAR(R$6),MONTH(R$6),MIN(DAY($F37),DAY(EOMONTH(R$6,0))))&lt;=R$6)*(MOD((YEAR(R$6)-YEAR($F37))*12+MONTH(R$6)-MONTH($F37),1)=0)),IF($D37="Quarterly",((DATE(YEAR(R$5),MONTH(R$5),MIN(DAY($F37),DAY(EOMONTH(R$5,0))))&gt;=MAX(R$5,$F37))*(DATE(YEAR(R$5),MONTH(R$5),MIN(DAY($F37),DAY(EOMONTH(R$5,0))))&lt;=R$6)*(MOD((YEAR(R$5)-YEAR($F37))*12+MONTH(R$5)-MONTH($F37),3)=0)+(MONTH(R$6)&lt;&gt;MONTH(R$5))*(DATE(YEAR(R$6),MONTH(R$6),MIN(DAY($F37),DAY(EOMONTH(R$6,0))))&gt;=$F37)*(DATE(YEAR(R$6),MONTH(R$6),MIN(DAY($F37),DAY(EOMONTH(R$6,0))))&gt;=R$5)*(DATE(YEAR(R$6),MONTH(R$6),MIN(DAY($F37),DAY(EOMONTH(R$6,0))))&lt;=R$6)*(MOD((YEAR(R$6)-YEAR($F37))*12+MONTH(R$6)-MONTH($F37),3)=0)),IF($D37="One-off",($F37&gt;=R$5)*($F37&lt;=R$6),0))))))</f>
        <v>0</v>
      </c>
      <c r="S37" s="19">
        <f>IF(OR($E37="",$F37="",$D37=""),0,IF(OR($C37="Loan and finance repayments",$C37="VAT and taxes",$C37="Capital expenditure",$C37="Licences and regulatory fees"),1,1+CostAdj)*$E37*IF($D37="Weekly",(MAX(0,INT((S$6-$F37)/7)+1)-MAX(0,INT((S$5-1-$F37)/7)+1)),IF($D37="Fortnightly",(MAX(0,INT((S$6-$F37)/14)+1)-MAX(0,INT((S$5-1-$F37)/14)+1)),IF($D37="Monthly",((DATE(YEAR(S$5),MONTH(S$5),MIN(DAY($F37),DAY(EOMONTH(S$5,0))))&gt;=MAX(S$5,$F37))*(DATE(YEAR(S$5),MONTH(S$5),MIN(DAY($F37),DAY(EOMONTH(S$5,0))))&lt;=S$6)*(MOD((YEAR(S$5)-YEAR($F37))*12+MONTH(S$5)-MONTH($F37),1)=0)+(MONTH(S$6)&lt;&gt;MONTH(S$5))*(DATE(YEAR(S$6),MONTH(S$6),MIN(DAY($F37),DAY(EOMONTH(S$6,0))))&gt;=$F37)*(DATE(YEAR(S$6),MONTH(S$6),MIN(DAY($F37),DAY(EOMONTH(S$6,0))))&gt;=S$5)*(DATE(YEAR(S$6),MONTH(S$6),MIN(DAY($F37),DAY(EOMONTH(S$6,0))))&lt;=S$6)*(MOD((YEAR(S$6)-YEAR($F37))*12+MONTH(S$6)-MONTH($F37),1)=0)),IF($D37="Quarterly",((DATE(YEAR(S$5),MONTH(S$5),MIN(DAY($F37),DAY(EOMONTH(S$5,0))))&gt;=MAX(S$5,$F37))*(DATE(YEAR(S$5),MONTH(S$5),MIN(DAY($F37),DAY(EOMONTH(S$5,0))))&lt;=S$6)*(MOD((YEAR(S$5)-YEAR($F37))*12+MONTH(S$5)-MONTH($F37),3)=0)+(MONTH(S$6)&lt;&gt;MONTH(S$5))*(DATE(YEAR(S$6),MONTH(S$6),MIN(DAY($F37),DAY(EOMONTH(S$6,0))))&gt;=$F37)*(DATE(YEAR(S$6),MONTH(S$6),MIN(DAY($F37),DAY(EOMONTH(S$6,0))))&gt;=S$5)*(DATE(YEAR(S$6),MONTH(S$6),MIN(DAY($F37),DAY(EOMONTH(S$6,0))))&lt;=S$6)*(MOD((YEAR(S$6)-YEAR($F37))*12+MONTH(S$6)-MONTH($F37),3)=0)),IF($D37="One-off",($F37&gt;=S$5)*($F37&lt;=S$6),0))))))</f>
        <v>0</v>
      </c>
      <c r="T37" s="19">
        <f>IF(OR($E37="",$F37="",$D37=""),0,IF(OR($C37="Loan and finance repayments",$C37="VAT and taxes",$C37="Capital expenditure",$C37="Licences and regulatory fees"),1,1+CostAdj)*$E37*IF($D37="Weekly",(MAX(0,INT((T$6-$F37)/7)+1)-MAX(0,INT((T$5-1-$F37)/7)+1)),IF($D37="Fortnightly",(MAX(0,INT((T$6-$F37)/14)+1)-MAX(0,INT((T$5-1-$F37)/14)+1)),IF($D37="Monthly",((DATE(YEAR(T$5),MONTH(T$5),MIN(DAY($F37),DAY(EOMONTH(T$5,0))))&gt;=MAX(T$5,$F37))*(DATE(YEAR(T$5),MONTH(T$5),MIN(DAY($F37),DAY(EOMONTH(T$5,0))))&lt;=T$6)*(MOD((YEAR(T$5)-YEAR($F37))*12+MONTH(T$5)-MONTH($F37),1)=0)+(MONTH(T$6)&lt;&gt;MONTH(T$5))*(DATE(YEAR(T$6),MONTH(T$6),MIN(DAY($F37),DAY(EOMONTH(T$6,0))))&gt;=$F37)*(DATE(YEAR(T$6),MONTH(T$6),MIN(DAY($F37),DAY(EOMONTH(T$6,0))))&gt;=T$5)*(DATE(YEAR(T$6),MONTH(T$6),MIN(DAY($F37),DAY(EOMONTH(T$6,0))))&lt;=T$6)*(MOD((YEAR(T$6)-YEAR($F37))*12+MONTH(T$6)-MONTH($F37),1)=0)),IF($D37="Quarterly",((DATE(YEAR(T$5),MONTH(T$5),MIN(DAY($F37),DAY(EOMONTH(T$5,0))))&gt;=MAX(T$5,$F37))*(DATE(YEAR(T$5),MONTH(T$5),MIN(DAY($F37),DAY(EOMONTH(T$5,0))))&lt;=T$6)*(MOD((YEAR(T$5)-YEAR($F37))*12+MONTH(T$5)-MONTH($F37),3)=0)+(MONTH(T$6)&lt;&gt;MONTH(T$5))*(DATE(YEAR(T$6),MONTH(T$6),MIN(DAY($F37),DAY(EOMONTH(T$6,0))))&gt;=$F37)*(DATE(YEAR(T$6),MONTH(T$6),MIN(DAY($F37),DAY(EOMONTH(T$6,0))))&gt;=T$5)*(DATE(YEAR(T$6),MONTH(T$6),MIN(DAY($F37),DAY(EOMONTH(T$6,0))))&lt;=T$6)*(MOD((YEAR(T$6)-YEAR($F37))*12+MONTH(T$6)-MONTH($F37),3)=0)),IF($D37="One-off",($F37&gt;=T$5)*($F37&lt;=T$6),0))))))</f>
        <v>0</v>
      </c>
      <c r="U37" s="36">
        <f>SUM(H37:T37)</f>
        <v>0</v>
      </c>
    </row>
    <row r="38" spans="1:21">
      <c r="A38" s="42">
        <v>30</v>
      </c>
      <c r="B38" s="7"/>
      <c r="C38" s="7"/>
      <c r="D38" s="7"/>
      <c r="E38" s="18"/>
      <c r="F38" s="17"/>
      <c r="G38" s="7"/>
      <c r="H38" s="19">
        <f>IF(OR($E38="",$F38="",$D38=""),0,IF(OR($C38="Loan and finance repayments",$C38="VAT and taxes",$C38="Capital expenditure",$C38="Licences and regulatory fees"),1,1+CostAdj)*$E38*IF($D38="Weekly",(MAX(0,INT((H$6-$F38)/7)+1)-MAX(0,INT((H$5-1-$F38)/7)+1)),IF($D38="Fortnightly",(MAX(0,INT((H$6-$F38)/14)+1)-MAX(0,INT((H$5-1-$F38)/14)+1)),IF($D38="Monthly",((DATE(YEAR(H$5),MONTH(H$5),MIN(DAY($F38),DAY(EOMONTH(H$5,0))))&gt;=MAX(H$5,$F38))*(DATE(YEAR(H$5),MONTH(H$5),MIN(DAY($F38),DAY(EOMONTH(H$5,0))))&lt;=H$6)*(MOD((YEAR(H$5)-YEAR($F38))*12+MONTH(H$5)-MONTH($F38),1)=0)+(MONTH(H$6)&lt;&gt;MONTH(H$5))*(DATE(YEAR(H$6),MONTH(H$6),MIN(DAY($F38),DAY(EOMONTH(H$6,0))))&gt;=$F38)*(DATE(YEAR(H$6),MONTH(H$6),MIN(DAY($F38),DAY(EOMONTH(H$6,0))))&gt;=H$5)*(DATE(YEAR(H$6),MONTH(H$6),MIN(DAY($F38),DAY(EOMONTH(H$6,0))))&lt;=H$6)*(MOD((YEAR(H$6)-YEAR($F38))*12+MONTH(H$6)-MONTH($F38),1)=0)),IF($D38="Quarterly",((DATE(YEAR(H$5),MONTH(H$5),MIN(DAY($F38),DAY(EOMONTH(H$5,0))))&gt;=MAX(H$5,$F38))*(DATE(YEAR(H$5),MONTH(H$5),MIN(DAY($F38),DAY(EOMONTH(H$5,0))))&lt;=H$6)*(MOD((YEAR(H$5)-YEAR($F38))*12+MONTH(H$5)-MONTH($F38),3)=0)+(MONTH(H$6)&lt;&gt;MONTH(H$5))*(DATE(YEAR(H$6),MONTH(H$6),MIN(DAY($F38),DAY(EOMONTH(H$6,0))))&gt;=$F38)*(DATE(YEAR(H$6),MONTH(H$6),MIN(DAY($F38),DAY(EOMONTH(H$6,0))))&gt;=H$5)*(DATE(YEAR(H$6),MONTH(H$6),MIN(DAY($F38),DAY(EOMONTH(H$6,0))))&lt;=H$6)*(MOD((YEAR(H$6)-YEAR($F38))*12+MONTH(H$6)-MONTH($F38),3)=0)),IF($D38="One-off",($F38&gt;=H$5)*($F38&lt;=H$6),0))))))</f>
        <v>0</v>
      </c>
      <c r="I38" s="19">
        <f>IF(OR($E38="",$F38="",$D38=""),0,IF(OR($C38="Loan and finance repayments",$C38="VAT and taxes",$C38="Capital expenditure",$C38="Licences and regulatory fees"),1,1+CostAdj)*$E38*IF($D38="Weekly",(MAX(0,INT((I$6-$F38)/7)+1)-MAX(0,INT((I$5-1-$F38)/7)+1)),IF($D38="Fortnightly",(MAX(0,INT((I$6-$F38)/14)+1)-MAX(0,INT((I$5-1-$F38)/14)+1)),IF($D38="Monthly",((DATE(YEAR(I$5),MONTH(I$5),MIN(DAY($F38),DAY(EOMONTH(I$5,0))))&gt;=MAX(I$5,$F38))*(DATE(YEAR(I$5),MONTH(I$5),MIN(DAY($F38),DAY(EOMONTH(I$5,0))))&lt;=I$6)*(MOD((YEAR(I$5)-YEAR($F38))*12+MONTH(I$5)-MONTH($F38),1)=0)+(MONTH(I$6)&lt;&gt;MONTH(I$5))*(DATE(YEAR(I$6),MONTH(I$6),MIN(DAY($F38),DAY(EOMONTH(I$6,0))))&gt;=$F38)*(DATE(YEAR(I$6),MONTH(I$6),MIN(DAY($F38),DAY(EOMONTH(I$6,0))))&gt;=I$5)*(DATE(YEAR(I$6),MONTH(I$6),MIN(DAY($F38),DAY(EOMONTH(I$6,0))))&lt;=I$6)*(MOD((YEAR(I$6)-YEAR($F38))*12+MONTH(I$6)-MONTH($F38),1)=0)),IF($D38="Quarterly",((DATE(YEAR(I$5),MONTH(I$5),MIN(DAY($F38),DAY(EOMONTH(I$5,0))))&gt;=MAX(I$5,$F38))*(DATE(YEAR(I$5),MONTH(I$5),MIN(DAY($F38),DAY(EOMONTH(I$5,0))))&lt;=I$6)*(MOD((YEAR(I$5)-YEAR($F38))*12+MONTH(I$5)-MONTH($F38),3)=0)+(MONTH(I$6)&lt;&gt;MONTH(I$5))*(DATE(YEAR(I$6),MONTH(I$6),MIN(DAY($F38),DAY(EOMONTH(I$6,0))))&gt;=$F38)*(DATE(YEAR(I$6),MONTH(I$6),MIN(DAY($F38),DAY(EOMONTH(I$6,0))))&gt;=I$5)*(DATE(YEAR(I$6),MONTH(I$6),MIN(DAY($F38),DAY(EOMONTH(I$6,0))))&lt;=I$6)*(MOD((YEAR(I$6)-YEAR($F38))*12+MONTH(I$6)-MONTH($F38),3)=0)),IF($D38="One-off",($F38&gt;=I$5)*($F38&lt;=I$6),0))))))</f>
        <v>0</v>
      </c>
      <c r="J38" s="19">
        <f>IF(OR($E38="",$F38="",$D38=""),0,IF(OR($C38="Loan and finance repayments",$C38="VAT and taxes",$C38="Capital expenditure",$C38="Licences and regulatory fees"),1,1+CostAdj)*$E38*IF($D38="Weekly",(MAX(0,INT((J$6-$F38)/7)+1)-MAX(0,INT((J$5-1-$F38)/7)+1)),IF($D38="Fortnightly",(MAX(0,INT((J$6-$F38)/14)+1)-MAX(0,INT((J$5-1-$F38)/14)+1)),IF($D38="Monthly",((DATE(YEAR(J$5),MONTH(J$5),MIN(DAY($F38),DAY(EOMONTH(J$5,0))))&gt;=MAX(J$5,$F38))*(DATE(YEAR(J$5),MONTH(J$5),MIN(DAY($F38),DAY(EOMONTH(J$5,0))))&lt;=J$6)*(MOD((YEAR(J$5)-YEAR($F38))*12+MONTH(J$5)-MONTH($F38),1)=0)+(MONTH(J$6)&lt;&gt;MONTH(J$5))*(DATE(YEAR(J$6),MONTH(J$6),MIN(DAY($F38),DAY(EOMONTH(J$6,0))))&gt;=$F38)*(DATE(YEAR(J$6),MONTH(J$6),MIN(DAY($F38),DAY(EOMONTH(J$6,0))))&gt;=J$5)*(DATE(YEAR(J$6),MONTH(J$6),MIN(DAY($F38),DAY(EOMONTH(J$6,0))))&lt;=J$6)*(MOD((YEAR(J$6)-YEAR($F38))*12+MONTH(J$6)-MONTH($F38),1)=0)),IF($D38="Quarterly",((DATE(YEAR(J$5),MONTH(J$5),MIN(DAY($F38),DAY(EOMONTH(J$5,0))))&gt;=MAX(J$5,$F38))*(DATE(YEAR(J$5),MONTH(J$5),MIN(DAY($F38),DAY(EOMONTH(J$5,0))))&lt;=J$6)*(MOD((YEAR(J$5)-YEAR($F38))*12+MONTH(J$5)-MONTH($F38),3)=0)+(MONTH(J$6)&lt;&gt;MONTH(J$5))*(DATE(YEAR(J$6),MONTH(J$6),MIN(DAY($F38),DAY(EOMONTH(J$6,0))))&gt;=$F38)*(DATE(YEAR(J$6),MONTH(J$6),MIN(DAY($F38),DAY(EOMONTH(J$6,0))))&gt;=J$5)*(DATE(YEAR(J$6),MONTH(J$6),MIN(DAY($F38),DAY(EOMONTH(J$6,0))))&lt;=J$6)*(MOD((YEAR(J$6)-YEAR($F38))*12+MONTH(J$6)-MONTH($F38),3)=0)),IF($D38="One-off",($F38&gt;=J$5)*($F38&lt;=J$6),0))))))</f>
        <v>0</v>
      </c>
      <c r="K38" s="19">
        <f>IF(OR($E38="",$F38="",$D38=""),0,IF(OR($C38="Loan and finance repayments",$C38="VAT and taxes",$C38="Capital expenditure",$C38="Licences and regulatory fees"),1,1+CostAdj)*$E38*IF($D38="Weekly",(MAX(0,INT((K$6-$F38)/7)+1)-MAX(0,INT((K$5-1-$F38)/7)+1)),IF($D38="Fortnightly",(MAX(0,INT((K$6-$F38)/14)+1)-MAX(0,INT((K$5-1-$F38)/14)+1)),IF($D38="Monthly",((DATE(YEAR(K$5),MONTH(K$5),MIN(DAY($F38),DAY(EOMONTH(K$5,0))))&gt;=MAX(K$5,$F38))*(DATE(YEAR(K$5),MONTH(K$5),MIN(DAY($F38),DAY(EOMONTH(K$5,0))))&lt;=K$6)*(MOD((YEAR(K$5)-YEAR($F38))*12+MONTH(K$5)-MONTH($F38),1)=0)+(MONTH(K$6)&lt;&gt;MONTH(K$5))*(DATE(YEAR(K$6),MONTH(K$6),MIN(DAY($F38),DAY(EOMONTH(K$6,0))))&gt;=$F38)*(DATE(YEAR(K$6),MONTH(K$6),MIN(DAY($F38),DAY(EOMONTH(K$6,0))))&gt;=K$5)*(DATE(YEAR(K$6),MONTH(K$6),MIN(DAY($F38),DAY(EOMONTH(K$6,0))))&lt;=K$6)*(MOD((YEAR(K$6)-YEAR($F38))*12+MONTH(K$6)-MONTH($F38),1)=0)),IF($D38="Quarterly",((DATE(YEAR(K$5),MONTH(K$5),MIN(DAY($F38),DAY(EOMONTH(K$5,0))))&gt;=MAX(K$5,$F38))*(DATE(YEAR(K$5),MONTH(K$5),MIN(DAY($F38),DAY(EOMONTH(K$5,0))))&lt;=K$6)*(MOD((YEAR(K$5)-YEAR($F38))*12+MONTH(K$5)-MONTH($F38),3)=0)+(MONTH(K$6)&lt;&gt;MONTH(K$5))*(DATE(YEAR(K$6),MONTH(K$6),MIN(DAY($F38),DAY(EOMONTH(K$6,0))))&gt;=$F38)*(DATE(YEAR(K$6),MONTH(K$6),MIN(DAY($F38),DAY(EOMONTH(K$6,0))))&gt;=K$5)*(DATE(YEAR(K$6),MONTH(K$6),MIN(DAY($F38),DAY(EOMONTH(K$6,0))))&lt;=K$6)*(MOD((YEAR(K$6)-YEAR($F38))*12+MONTH(K$6)-MONTH($F38),3)=0)),IF($D38="One-off",($F38&gt;=K$5)*($F38&lt;=K$6),0))))))</f>
        <v>0</v>
      </c>
      <c r="L38" s="19">
        <f>IF(OR($E38="",$F38="",$D38=""),0,IF(OR($C38="Loan and finance repayments",$C38="VAT and taxes",$C38="Capital expenditure",$C38="Licences and regulatory fees"),1,1+CostAdj)*$E38*IF($D38="Weekly",(MAX(0,INT((L$6-$F38)/7)+1)-MAX(0,INT((L$5-1-$F38)/7)+1)),IF($D38="Fortnightly",(MAX(0,INT((L$6-$F38)/14)+1)-MAX(0,INT((L$5-1-$F38)/14)+1)),IF($D38="Monthly",((DATE(YEAR(L$5),MONTH(L$5),MIN(DAY($F38),DAY(EOMONTH(L$5,0))))&gt;=MAX(L$5,$F38))*(DATE(YEAR(L$5),MONTH(L$5),MIN(DAY($F38),DAY(EOMONTH(L$5,0))))&lt;=L$6)*(MOD((YEAR(L$5)-YEAR($F38))*12+MONTH(L$5)-MONTH($F38),1)=0)+(MONTH(L$6)&lt;&gt;MONTH(L$5))*(DATE(YEAR(L$6),MONTH(L$6),MIN(DAY($F38),DAY(EOMONTH(L$6,0))))&gt;=$F38)*(DATE(YEAR(L$6),MONTH(L$6),MIN(DAY($F38),DAY(EOMONTH(L$6,0))))&gt;=L$5)*(DATE(YEAR(L$6),MONTH(L$6),MIN(DAY($F38),DAY(EOMONTH(L$6,0))))&lt;=L$6)*(MOD((YEAR(L$6)-YEAR($F38))*12+MONTH(L$6)-MONTH($F38),1)=0)),IF($D38="Quarterly",((DATE(YEAR(L$5),MONTH(L$5),MIN(DAY($F38),DAY(EOMONTH(L$5,0))))&gt;=MAX(L$5,$F38))*(DATE(YEAR(L$5),MONTH(L$5),MIN(DAY($F38),DAY(EOMONTH(L$5,0))))&lt;=L$6)*(MOD((YEAR(L$5)-YEAR($F38))*12+MONTH(L$5)-MONTH($F38),3)=0)+(MONTH(L$6)&lt;&gt;MONTH(L$5))*(DATE(YEAR(L$6),MONTH(L$6),MIN(DAY($F38),DAY(EOMONTH(L$6,0))))&gt;=$F38)*(DATE(YEAR(L$6),MONTH(L$6),MIN(DAY($F38),DAY(EOMONTH(L$6,0))))&gt;=L$5)*(DATE(YEAR(L$6),MONTH(L$6),MIN(DAY($F38),DAY(EOMONTH(L$6,0))))&lt;=L$6)*(MOD((YEAR(L$6)-YEAR($F38))*12+MONTH(L$6)-MONTH($F38),3)=0)),IF($D38="One-off",($F38&gt;=L$5)*($F38&lt;=L$6),0))))))</f>
        <v>0</v>
      </c>
      <c r="M38" s="19">
        <f>IF(OR($E38="",$F38="",$D38=""),0,IF(OR($C38="Loan and finance repayments",$C38="VAT and taxes",$C38="Capital expenditure",$C38="Licences and regulatory fees"),1,1+CostAdj)*$E38*IF($D38="Weekly",(MAX(0,INT((M$6-$F38)/7)+1)-MAX(0,INT((M$5-1-$F38)/7)+1)),IF($D38="Fortnightly",(MAX(0,INT((M$6-$F38)/14)+1)-MAX(0,INT((M$5-1-$F38)/14)+1)),IF($D38="Monthly",((DATE(YEAR(M$5),MONTH(M$5),MIN(DAY($F38),DAY(EOMONTH(M$5,0))))&gt;=MAX(M$5,$F38))*(DATE(YEAR(M$5),MONTH(M$5),MIN(DAY($F38),DAY(EOMONTH(M$5,0))))&lt;=M$6)*(MOD((YEAR(M$5)-YEAR($F38))*12+MONTH(M$5)-MONTH($F38),1)=0)+(MONTH(M$6)&lt;&gt;MONTH(M$5))*(DATE(YEAR(M$6),MONTH(M$6),MIN(DAY($F38),DAY(EOMONTH(M$6,0))))&gt;=$F38)*(DATE(YEAR(M$6),MONTH(M$6),MIN(DAY($F38),DAY(EOMONTH(M$6,0))))&gt;=M$5)*(DATE(YEAR(M$6),MONTH(M$6),MIN(DAY($F38),DAY(EOMONTH(M$6,0))))&lt;=M$6)*(MOD((YEAR(M$6)-YEAR($F38))*12+MONTH(M$6)-MONTH($F38),1)=0)),IF($D38="Quarterly",((DATE(YEAR(M$5),MONTH(M$5),MIN(DAY($F38),DAY(EOMONTH(M$5,0))))&gt;=MAX(M$5,$F38))*(DATE(YEAR(M$5),MONTH(M$5),MIN(DAY($F38),DAY(EOMONTH(M$5,0))))&lt;=M$6)*(MOD((YEAR(M$5)-YEAR($F38))*12+MONTH(M$5)-MONTH($F38),3)=0)+(MONTH(M$6)&lt;&gt;MONTH(M$5))*(DATE(YEAR(M$6),MONTH(M$6),MIN(DAY($F38),DAY(EOMONTH(M$6,0))))&gt;=$F38)*(DATE(YEAR(M$6),MONTH(M$6),MIN(DAY($F38),DAY(EOMONTH(M$6,0))))&gt;=M$5)*(DATE(YEAR(M$6),MONTH(M$6),MIN(DAY($F38),DAY(EOMONTH(M$6,0))))&lt;=M$6)*(MOD((YEAR(M$6)-YEAR($F38))*12+MONTH(M$6)-MONTH($F38),3)=0)),IF($D38="One-off",($F38&gt;=M$5)*($F38&lt;=M$6),0))))))</f>
        <v>0</v>
      </c>
      <c r="N38" s="19">
        <f>IF(OR($E38="",$F38="",$D38=""),0,IF(OR($C38="Loan and finance repayments",$C38="VAT and taxes",$C38="Capital expenditure",$C38="Licences and regulatory fees"),1,1+CostAdj)*$E38*IF($D38="Weekly",(MAX(0,INT((N$6-$F38)/7)+1)-MAX(0,INT((N$5-1-$F38)/7)+1)),IF($D38="Fortnightly",(MAX(0,INT((N$6-$F38)/14)+1)-MAX(0,INT((N$5-1-$F38)/14)+1)),IF($D38="Monthly",((DATE(YEAR(N$5),MONTH(N$5),MIN(DAY($F38),DAY(EOMONTH(N$5,0))))&gt;=MAX(N$5,$F38))*(DATE(YEAR(N$5),MONTH(N$5),MIN(DAY($F38),DAY(EOMONTH(N$5,0))))&lt;=N$6)*(MOD((YEAR(N$5)-YEAR($F38))*12+MONTH(N$5)-MONTH($F38),1)=0)+(MONTH(N$6)&lt;&gt;MONTH(N$5))*(DATE(YEAR(N$6),MONTH(N$6),MIN(DAY($F38),DAY(EOMONTH(N$6,0))))&gt;=$F38)*(DATE(YEAR(N$6),MONTH(N$6),MIN(DAY($F38),DAY(EOMONTH(N$6,0))))&gt;=N$5)*(DATE(YEAR(N$6),MONTH(N$6),MIN(DAY($F38),DAY(EOMONTH(N$6,0))))&lt;=N$6)*(MOD((YEAR(N$6)-YEAR($F38))*12+MONTH(N$6)-MONTH($F38),1)=0)),IF($D38="Quarterly",((DATE(YEAR(N$5),MONTH(N$5),MIN(DAY($F38),DAY(EOMONTH(N$5,0))))&gt;=MAX(N$5,$F38))*(DATE(YEAR(N$5),MONTH(N$5),MIN(DAY($F38),DAY(EOMONTH(N$5,0))))&lt;=N$6)*(MOD((YEAR(N$5)-YEAR($F38))*12+MONTH(N$5)-MONTH($F38),3)=0)+(MONTH(N$6)&lt;&gt;MONTH(N$5))*(DATE(YEAR(N$6),MONTH(N$6),MIN(DAY($F38),DAY(EOMONTH(N$6,0))))&gt;=$F38)*(DATE(YEAR(N$6),MONTH(N$6),MIN(DAY($F38),DAY(EOMONTH(N$6,0))))&gt;=N$5)*(DATE(YEAR(N$6),MONTH(N$6),MIN(DAY($F38),DAY(EOMONTH(N$6,0))))&lt;=N$6)*(MOD((YEAR(N$6)-YEAR($F38))*12+MONTH(N$6)-MONTH($F38),3)=0)),IF($D38="One-off",($F38&gt;=N$5)*($F38&lt;=N$6),0))))))</f>
        <v>0</v>
      </c>
      <c r="O38" s="19">
        <f>IF(OR($E38="",$F38="",$D38=""),0,IF(OR($C38="Loan and finance repayments",$C38="VAT and taxes",$C38="Capital expenditure",$C38="Licences and regulatory fees"),1,1+CostAdj)*$E38*IF($D38="Weekly",(MAX(0,INT((O$6-$F38)/7)+1)-MAX(0,INT((O$5-1-$F38)/7)+1)),IF($D38="Fortnightly",(MAX(0,INT((O$6-$F38)/14)+1)-MAX(0,INT((O$5-1-$F38)/14)+1)),IF($D38="Monthly",((DATE(YEAR(O$5),MONTH(O$5),MIN(DAY($F38),DAY(EOMONTH(O$5,0))))&gt;=MAX(O$5,$F38))*(DATE(YEAR(O$5),MONTH(O$5),MIN(DAY($F38),DAY(EOMONTH(O$5,0))))&lt;=O$6)*(MOD((YEAR(O$5)-YEAR($F38))*12+MONTH(O$5)-MONTH($F38),1)=0)+(MONTH(O$6)&lt;&gt;MONTH(O$5))*(DATE(YEAR(O$6),MONTH(O$6),MIN(DAY($F38),DAY(EOMONTH(O$6,0))))&gt;=$F38)*(DATE(YEAR(O$6),MONTH(O$6),MIN(DAY($F38),DAY(EOMONTH(O$6,0))))&gt;=O$5)*(DATE(YEAR(O$6),MONTH(O$6),MIN(DAY($F38),DAY(EOMONTH(O$6,0))))&lt;=O$6)*(MOD((YEAR(O$6)-YEAR($F38))*12+MONTH(O$6)-MONTH($F38),1)=0)),IF($D38="Quarterly",((DATE(YEAR(O$5),MONTH(O$5),MIN(DAY($F38),DAY(EOMONTH(O$5,0))))&gt;=MAX(O$5,$F38))*(DATE(YEAR(O$5),MONTH(O$5),MIN(DAY($F38),DAY(EOMONTH(O$5,0))))&lt;=O$6)*(MOD((YEAR(O$5)-YEAR($F38))*12+MONTH(O$5)-MONTH($F38),3)=0)+(MONTH(O$6)&lt;&gt;MONTH(O$5))*(DATE(YEAR(O$6),MONTH(O$6),MIN(DAY($F38),DAY(EOMONTH(O$6,0))))&gt;=$F38)*(DATE(YEAR(O$6),MONTH(O$6),MIN(DAY($F38),DAY(EOMONTH(O$6,0))))&gt;=O$5)*(DATE(YEAR(O$6),MONTH(O$6),MIN(DAY($F38),DAY(EOMONTH(O$6,0))))&lt;=O$6)*(MOD((YEAR(O$6)-YEAR($F38))*12+MONTH(O$6)-MONTH($F38),3)=0)),IF($D38="One-off",($F38&gt;=O$5)*($F38&lt;=O$6),0))))))</f>
        <v>0</v>
      </c>
      <c r="P38" s="19">
        <f>IF(OR($E38="",$F38="",$D38=""),0,IF(OR($C38="Loan and finance repayments",$C38="VAT and taxes",$C38="Capital expenditure",$C38="Licences and regulatory fees"),1,1+CostAdj)*$E38*IF($D38="Weekly",(MAX(0,INT((P$6-$F38)/7)+1)-MAX(0,INT((P$5-1-$F38)/7)+1)),IF($D38="Fortnightly",(MAX(0,INT((P$6-$F38)/14)+1)-MAX(0,INT((P$5-1-$F38)/14)+1)),IF($D38="Monthly",((DATE(YEAR(P$5),MONTH(P$5),MIN(DAY($F38),DAY(EOMONTH(P$5,0))))&gt;=MAX(P$5,$F38))*(DATE(YEAR(P$5),MONTH(P$5),MIN(DAY($F38),DAY(EOMONTH(P$5,0))))&lt;=P$6)*(MOD((YEAR(P$5)-YEAR($F38))*12+MONTH(P$5)-MONTH($F38),1)=0)+(MONTH(P$6)&lt;&gt;MONTH(P$5))*(DATE(YEAR(P$6),MONTH(P$6),MIN(DAY($F38),DAY(EOMONTH(P$6,0))))&gt;=$F38)*(DATE(YEAR(P$6),MONTH(P$6),MIN(DAY($F38),DAY(EOMONTH(P$6,0))))&gt;=P$5)*(DATE(YEAR(P$6),MONTH(P$6),MIN(DAY($F38),DAY(EOMONTH(P$6,0))))&lt;=P$6)*(MOD((YEAR(P$6)-YEAR($F38))*12+MONTH(P$6)-MONTH($F38),1)=0)),IF($D38="Quarterly",((DATE(YEAR(P$5),MONTH(P$5),MIN(DAY($F38),DAY(EOMONTH(P$5,0))))&gt;=MAX(P$5,$F38))*(DATE(YEAR(P$5),MONTH(P$5),MIN(DAY($F38),DAY(EOMONTH(P$5,0))))&lt;=P$6)*(MOD((YEAR(P$5)-YEAR($F38))*12+MONTH(P$5)-MONTH($F38),3)=0)+(MONTH(P$6)&lt;&gt;MONTH(P$5))*(DATE(YEAR(P$6),MONTH(P$6),MIN(DAY($F38),DAY(EOMONTH(P$6,0))))&gt;=$F38)*(DATE(YEAR(P$6),MONTH(P$6),MIN(DAY($F38),DAY(EOMONTH(P$6,0))))&gt;=P$5)*(DATE(YEAR(P$6),MONTH(P$6),MIN(DAY($F38),DAY(EOMONTH(P$6,0))))&lt;=P$6)*(MOD((YEAR(P$6)-YEAR($F38))*12+MONTH(P$6)-MONTH($F38),3)=0)),IF($D38="One-off",($F38&gt;=P$5)*($F38&lt;=P$6),0))))))</f>
        <v>0</v>
      </c>
      <c r="Q38" s="19">
        <f>IF(OR($E38="",$F38="",$D38=""),0,IF(OR($C38="Loan and finance repayments",$C38="VAT and taxes",$C38="Capital expenditure",$C38="Licences and regulatory fees"),1,1+CostAdj)*$E38*IF($D38="Weekly",(MAX(0,INT((Q$6-$F38)/7)+1)-MAX(0,INT((Q$5-1-$F38)/7)+1)),IF($D38="Fortnightly",(MAX(0,INT((Q$6-$F38)/14)+1)-MAX(0,INT((Q$5-1-$F38)/14)+1)),IF($D38="Monthly",((DATE(YEAR(Q$5),MONTH(Q$5),MIN(DAY($F38),DAY(EOMONTH(Q$5,0))))&gt;=MAX(Q$5,$F38))*(DATE(YEAR(Q$5),MONTH(Q$5),MIN(DAY($F38),DAY(EOMONTH(Q$5,0))))&lt;=Q$6)*(MOD((YEAR(Q$5)-YEAR($F38))*12+MONTH(Q$5)-MONTH($F38),1)=0)+(MONTH(Q$6)&lt;&gt;MONTH(Q$5))*(DATE(YEAR(Q$6),MONTH(Q$6),MIN(DAY($F38),DAY(EOMONTH(Q$6,0))))&gt;=$F38)*(DATE(YEAR(Q$6),MONTH(Q$6),MIN(DAY($F38),DAY(EOMONTH(Q$6,0))))&gt;=Q$5)*(DATE(YEAR(Q$6),MONTH(Q$6),MIN(DAY($F38),DAY(EOMONTH(Q$6,0))))&lt;=Q$6)*(MOD((YEAR(Q$6)-YEAR($F38))*12+MONTH(Q$6)-MONTH($F38),1)=0)),IF($D38="Quarterly",((DATE(YEAR(Q$5),MONTH(Q$5),MIN(DAY($F38),DAY(EOMONTH(Q$5,0))))&gt;=MAX(Q$5,$F38))*(DATE(YEAR(Q$5),MONTH(Q$5),MIN(DAY($F38),DAY(EOMONTH(Q$5,0))))&lt;=Q$6)*(MOD((YEAR(Q$5)-YEAR($F38))*12+MONTH(Q$5)-MONTH($F38),3)=0)+(MONTH(Q$6)&lt;&gt;MONTH(Q$5))*(DATE(YEAR(Q$6),MONTH(Q$6),MIN(DAY($F38),DAY(EOMONTH(Q$6,0))))&gt;=$F38)*(DATE(YEAR(Q$6),MONTH(Q$6),MIN(DAY($F38),DAY(EOMONTH(Q$6,0))))&gt;=Q$5)*(DATE(YEAR(Q$6),MONTH(Q$6),MIN(DAY($F38),DAY(EOMONTH(Q$6,0))))&lt;=Q$6)*(MOD((YEAR(Q$6)-YEAR($F38))*12+MONTH(Q$6)-MONTH($F38),3)=0)),IF($D38="One-off",($F38&gt;=Q$5)*($F38&lt;=Q$6),0))))))</f>
        <v>0</v>
      </c>
      <c r="R38" s="19">
        <f>IF(OR($E38="",$F38="",$D38=""),0,IF(OR($C38="Loan and finance repayments",$C38="VAT and taxes",$C38="Capital expenditure",$C38="Licences and regulatory fees"),1,1+CostAdj)*$E38*IF($D38="Weekly",(MAX(0,INT((R$6-$F38)/7)+1)-MAX(0,INT((R$5-1-$F38)/7)+1)),IF($D38="Fortnightly",(MAX(0,INT((R$6-$F38)/14)+1)-MAX(0,INT((R$5-1-$F38)/14)+1)),IF($D38="Monthly",((DATE(YEAR(R$5),MONTH(R$5),MIN(DAY($F38),DAY(EOMONTH(R$5,0))))&gt;=MAX(R$5,$F38))*(DATE(YEAR(R$5),MONTH(R$5),MIN(DAY($F38),DAY(EOMONTH(R$5,0))))&lt;=R$6)*(MOD((YEAR(R$5)-YEAR($F38))*12+MONTH(R$5)-MONTH($F38),1)=0)+(MONTH(R$6)&lt;&gt;MONTH(R$5))*(DATE(YEAR(R$6),MONTH(R$6),MIN(DAY($F38),DAY(EOMONTH(R$6,0))))&gt;=$F38)*(DATE(YEAR(R$6),MONTH(R$6),MIN(DAY($F38),DAY(EOMONTH(R$6,0))))&gt;=R$5)*(DATE(YEAR(R$6),MONTH(R$6),MIN(DAY($F38),DAY(EOMONTH(R$6,0))))&lt;=R$6)*(MOD((YEAR(R$6)-YEAR($F38))*12+MONTH(R$6)-MONTH($F38),1)=0)),IF($D38="Quarterly",((DATE(YEAR(R$5),MONTH(R$5),MIN(DAY($F38),DAY(EOMONTH(R$5,0))))&gt;=MAX(R$5,$F38))*(DATE(YEAR(R$5),MONTH(R$5),MIN(DAY($F38),DAY(EOMONTH(R$5,0))))&lt;=R$6)*(MOD((YEAR(R$5)-YEAR($F38))*12+MONTH(R$5)-MONTH($F38),3)=0)+(MONTH(R$6)&lt;&gt;MONTH(R$5))*(DATE(YEAR(R$6),MONTH(R$6),MIN(DAY($F38),DAY(EOMONTH(R$6,0))))&gt;=$F38)*(DATE(YEAR(R$6),MONTH(R$6),MIN(DAY($F38),DAY(EOMONTH(R$6,0))))&gt;=R$5)*(DATE(YEAR(R$6),MONTH(R$6),MIN(DAY($F38),DAY(EOMONTH(R$6,0))))&lt;=R$6)*(MOD((YEAR(R$6)-YEAR($F38))*12+MONTH(R$6)-MONTH($F38),3)=0)),IF($D38="One-off",($F38&gt;=R$5)*($F38&lt;=R$6),0))))))</f>
        <v>0</v>
      </c>
      <c r="S38" s="19">
        <f>IF(OR($E38="",$F38="",$D38=""),0,IF(OR($C38="Loan and finance repayments",$C38="VAT and taxes",$C38="Capital expenditure",$C38="Licences and regulatory fees"),1,1+CostAdj)*$E38*IF($D38="Weekly",(MAX(0,INT((S$6-$F38)/7)+1)-MAX(0,INT((S$5-1-$F38)/7)+1)),IF($D38="Fortnightly",(MAX(0,INT((S$6-$F38)/14)+1)-MAX(0,INT((S$5-1-$F38)/14)+1)),IF($D38="Monthly",((DATE(YEAR(S$5),MONTH(S$5),MIN(DAY($F38),DAY(EOMONTH(S$5,0))))&gt;=MAX(S$5,$F38))*(DATE(YEAR(S$5),MONTH(S$5),MIN(DAY($F38),DAY(EOMONTH(S$5,0))))&lt;=S$6)*(MOD((YEAR(S$5)-YEAR($F38))*12+MONTH(S$5)-MONTH($F38),1)=0)+(MONTH(S$6)&lt;&gt;MONTH(S$5))*(DATE(YEAR(S$6),MONTH(S$6),MIN(DAY($F38),DAY(EOMONTH(S$6,0))))&gt;=$F38)*(DATE(YEAR(S$6),MONTH(S$6),MIN(DAY($F38),DAY(EOMONTH(S$6,0))))&gt;=S$5)*(DATE(YEAR(S$6),MONTH(S$6),MIN(DAY($F38),DAY(EOMONTH(S$6,0))))&lt;=S$6)*(MOD((YEAR(S$6)-YEAR($F38))*12+MONTH(S$6)-MONTH($F38),1)=0)),IF($D38="Quarterly",((DATE(YEAR(S$5),MONTH(S$5),MIN(DAY($F38),DAY(EOMONTH(S$5,0))))&gt;=MAX(S$5,$F38))*(DATE(YEAR(S$5),MONTH(S$5),MIN(DAY($F38),DAY(EOMONTH(S$5,0))))&lt;=S$6)*(MOD((YEAR(S$5)-YEAR($F38))*12+MONTH(S$5)-MONTH($F38),3)=0)+(MONTH(S$6)&lt;&gt;MONTH(S$5))*(DATE(YEAR(S$6),MONTH(S$6),MIN(DAY($F38),DAY(EOMONTH(S$6,0))))&gt;=$F38)*(DATE(YEAR(S$6),MONTH(S$6),MIN(DAY($F38),DAY(EOMONTH(S$6,0))))&gt;=S$5)*(DATE(YEAR(S$6),MONTH(S$6),MIN(DAY($F38),DAY(EOMONTH(S$6,0))))&lt;=S$6)*(MOD((YEAR(S$6)-YEAR($F38))*12+MONTH(S$6)-MONTH($F38),3)=0)),IF($D38="One-off",($F38&gt;=S$5)*($F38&lt;=S$6),0))))))</f>
        <v>0</v>
      </c>
      <c r="T38" s="19">
        <f>IF(OR($E38="",$F38="",$D38=""),0,IF(OR($C38="Loan and finance repayments",$C38="VAT and taxes",$C38="Capital expenditure",$C38="Licences and regulatory fees"),1,1+CostAdj)*$E38*IF($D38="Weekly",(MAX(0,INT((T$6-$F38)/7)+1)-MAX(0,INT((T$5-1-$F38)/7)+1)),IF($D38="Fortnightly",(MAX(0,INT((T$6-$F38)/14)+1)-MAX(0,INT((T$5-1-$F38)/14)+1)),IF($D38="Monthly",((DATE(YEAR(T$5),MONTH(T$5),MIN(DAY($F38),DAY(EOMONTH(T$5,0))))&gt;=MAX(T$5,$F38))*(DATE(YEAR(T$5),MONTH(T$5),MIN(DAY($F38),DAY(EOMONTH(T$5,0))))&lt;=T$6)*(MOD((YEAR(T$5)-YEAR($F38))*12+MONTH(T$5)-MONTH($F38),1)=0)+(MONTH(T$6)&lt;&gt;MONTH(T$5))*(DATE(YEAR(T$6),MONTH(T$6),MIN(DAY($F38),DAY(EOMONTH(T$6,0))))&gt;=$F38)*(DATE(YEAR(T$6),MONTH(T$6),MIN(DAY($F38),DAY(EOMONTH(T$6,0))))&gt;=T$5)*(DATE(YEAR(T$6),MONTH(T$6),MIN(DAY($F38),DAY(EOMONTH(T$6,0))))&lt;=T$6)*(MOD((YEAR(T$6)-YEAR($F38))*12+MONTH(T$6)-MONTH($F38),1)=0)),IF($D38="Quarterly",((DATE(YEAR(T$5),MONTH(T$5),MIN(DAY($F38),DAY(EOMONTH(T$5,0))))&gt;=MAX(T$5,$F38))*(DATE(YEAR(T$5),MONTH(T$5),MIN(DAY($F38),DAY(EOMONTH(T$5,0))))&lt;=T$6)*(MOD((YEAR(T$5)-YEAR($F38))*12+MONTH(T$5)-MONTH($F38),3)=0)+(MONTH(T$6)&lt;&gt;MONTH(T$5))*(DATE(YEAR(T$6),MONTH(T$6),MIN(DAY($F38),DAY(EOMONTH(T$6,0))))&gt;=$F38)*(DATE(YEAR(T$6),MONTH(T$6),MIN(DAY($F38),DAY(EOMONTH(T$6,0))))&gt;=T$5)*(DATE(YEAR(T$6),MONTH(T$6),MIN(DAY($F38),DAY(EOMONTH(T$6,0))))&lt;=T$6)*(MOD((YEAR(T$6)-YEAR($F38))*12+MONTH(T$6)-MONTH($F38),3)=0)),IF($D38="One-off",($F38&gt;=T$5)*($F38&lt;=T$6),0))))))</f>
        <v>0</v>
      </c>
      <c r="U38" s="36">
        <f>SUM(H38:T38)</f>
        <v>0</v>
      </c>
    </row>
    <row r="39" spans="1:21">
      <c r="A39" s="29"/>
      <c r="B39" s="29" t="s">
        <v>151</v>
      </c>
      <c r="C39" s="29"/>
      <c r="D39" s="29"/>
      <c r="E39" s="29"/>
      <c r="F39" s="29"/>
      <c r="G39" s="29"/>
      <c r="H39" s="36">
        <f>SUM(H9:H38)</f>
        <v>286000</v>
      </c>
      <c r="I39" s="36">
        <f>SUM(I9:I38)</f>
        <v>119500</v>
      </c>
      <c r="J39" s="36">
        <f>SUM(J9:J38)</f>
        <v>22500</v>
      </c>
      <c r="K39" s="36">
        <f>SUM(K9:K38)</f>
        <v>382500</v>
      </c>
      <c r="L39" s="36">
        <f>SUM(L9:L38)</f>
        <v>70500</v>
      </c>
      <c r="M39" s="36">
        <f>SUM(M9:M38)</f>
        <v>182500</v>
      </c>
      <c r="N39" s="36">
        <f>SUM(N9:N38)</f>
        <v>165500</v>
      </c>
      <c r="O39" s="36">
        <f>SUM(O9:O38)</f>
        <v>287500</v>
      </c>
      <c r="P39" s="36">
        <f>SUM(P9:P38)</f>
        <v>52500</v>
      </c>
      <c r="Q39" s="36">
        <f>SUM(Q9:Q38)</f>
        <v>130500</v>
      </c>
      <c r="R39" s="36">
        <f>SUM(R9:R38)</f>
        <v>28300</v>
      </c>
      <c r="S39" s="36">
        <f>SUM(S9:S38)</f>
        <v>6700</v>
      </c>
      <c r="T39" s="36">
        <f>SUM(T9:T38)</f>
        <v>297000</v>
      </c>
      <c r="U39" s="36">
        <f>SUM(U9:U38)</f>
        <v>2031500</v>
      </c>
    </row>
    <row r="41" spans="1:21">
      <c r="B41" s="20" t="s">
        <v>152</v>
      </c>
    </row>
    <row r="42" spans="1:21">
      <c r="B42" s="14" t="s">
        <v>153</v>
      </c>
      <c r="C42" s="14"/>
      <c r="D42" s="14"/>
      <c r="E42" s="14"/>
      <c r="F42" s="14"/>
      <c r="G42" s="14"/>
      <c r="H42" s="14"/>
      <c r="I42" s="14"/>
      <c r="J42" s="14"/>
      <c r="K42" s="14"/>
      <c r="L42" s="14"/>
      <c r="M42" s="14"/>
    </row>
    <row r="43" spans="1:21">
      <c r="B43" s="14" t="s">
        <v>154</v>
      </c>
      <c r="C43" s="14"/>
      <c r="D43" s="14"/>
      <c r="E43" s="14"/>
      <c r="F43" s="14"/>
      <c r="G43" s="14"/>
      <c r="H43" s="14"/>
      <c r="I43" s="14"/>
      <c r="J43" s="14"/>
      <c r="K43" s="14"/>
      <c r="L43" s="14"/>
      <c r="M43" s="14"/>
    </row>
    <row r="44" spans="1:21">
      <c r="B44" s="14" t="s">
        <v>155</v>
      </c>
      <c r="C44" s="14"/>
      <c r="D44" s="14"/>
      <c r="E44" s="14"/>
      <c r="F44" s="14"/>
      <c r="G44" s="14"/>
      <c r="H44" s="14"/>
      <c r="I44" s="14"/>
      <c r="J44" s="14"/>
      <c r="K44" s="14"/>
      <c r="L44" s="14"/>
      <c r="M44" s="14"/>
    </row>
    <row r="45" spans="1:21">
      <c r="B45" s="14" t="s">
        <v>156</v>
      </c>
      <c r="C45" s="14"/>
      <c r="D45" s="14"/>
      <c r="E45" s="14"/>
      <c r="F45" s="14"/>
      <c r="G45" s="14"/>
      <c r="H45" s="14"/>
      <c r="I45" s="14"/>
      <c r="J45" s="14"/>
      <c r="K45" s="14"/>
      <c r="L45" s="14"/>
      <c r="M45" s="14"/>
    </row>
    <row r="46" spans="1:21">
      <c r="B46" s="14" t="s">
        <v>157</v>
      </c>
      <c r="C46" s="14"/>
      <c r="D46" s="14"/>
      <c r="E46" s="14"/>
      <c r="F46" s="14"/>
      <c r="G46" s="14"/>
      <c r="H46" s="14"/>
      <c r="I46" s="14"/>
      <c r="J46" s="14"/>
      <c r="K46" s="14"/>
      <c r="L46" s="14"/>
      <c r="M46" s="14"/>
    </row>
  </sheetData>
  <mergeCells count="7">
    <mergeCell ref="A1:U1"/>
    <mergeCell ref="A2:U2"/>
    <mergeCell ref="B42:M42"/>
    <mergeCell ref="B43:M43"/>
    <mergeCell ref="B44:M44"/>
    <mergeCell ref="B45:M45"/>
    <mergeCell ref="B46:M46"/>
  </mergeCells>
  <dataValidations count="4">
    <dataValidation type="list" allowBlank="1" showInputMessage="1" showErrorMessage="1" promptTitle="Category" prompt="Pick a category. It decides which line on the Forecast this payment appears in." sqref="C9:C38">
      <formula1>Lists!$A$1:$A$13</formula1>
    </dataValidation>
    <dataValidation type="list" allowBlank="1" showInputMessage="1" showErrorMessage="1" promptTitle="Frequency" prompt="Weekly, Fortnightly, Monthly, Quarterly or One-off." sqref="D9:D38">
      <formula1>Lists!$B$1:$B$5</formula1>
    </dataValidation>
    <dataValidation type="decimal" operator="greaterThanOrEqual" allowBlank="1" showInputMessage="1" showErrorMessage="1" error="Enter a positive amount." sqref="E9:E38">
      <formula1>0</formula1>
    </dataValidation>
    <dataValidation type="date" operator="greaterThanOrEqual" allowBlank="1" showInputMessage="1" showErrorMessage="1" errorTitle="Date" error="Enter a valid date." sqref="F9:F38">
      <formula1>36526</formula1>
    </dataValidation>
  </dataValidations>
  <pageMargins left="0.7" right="0.7" top="0.75" bottom="0.75" header="0.3" footer="0.3"/>
  <pageSetup paperSize="9" fitToHeight="0" orientation="landscape"/>
  <headerFooter>
    <oddFooter>&amp;L&amp;"Arial,Regular"&amp;8OzaniX Partners  |  ozanixpartners.com&amp;R&amp;"Arial,Regular"&amp;8&amp;A  |  Page &amp;P of &amp;N</oddFooter>
  </headerFooter>
</worksheet>
</file>

<file path=xl/worksheets/sheet6.xml><?xml version="1.0" encoding="utf-8"?>
<worksheet xmlns="http://schemas.openxmlformats.org/spreadsheetml/2006/main" xmlns:r="http://schemas.openxmlformats.org/officeDocument/2006/relationships">
  <sheetPr>
    <tabColor rgb="FF1B3464"/>
    <pageSetUpPr fitToPage="1"/>
  </sheetPr>
  <dimension ref="A1:Q50"/>
  <sheetViews>
    <sheetView showGridLines="0" zoomScale="90" zoomScaleNormal="90" workbookViewId="0">
      <pane xSplit="1" ySplit="6" topLeftCell="B7" activePane="bottomRight" state="frozen"/>
      <selection pane="topRight" activeCell="B1" sqref="B1"/>
      <selection pane="bottomLeft" activeCell="A7" sqref="A7"/>
      <selection pane="bottomRight"/>
    </sheetView>
  </sheetViews>
  <sheetFormatPr defaultRowHeight="15"/>
  <cols>
    <col min="1" max="1" width="56.7109375" customWidth="1"/>
    <col min="2" max="3" width="2.7109375" customWidth="1"/>
    <col min="4" max="16" width="12.28515625" customWidth="1"/>
    <col min="17" max="17" width="14.28515625" customWidth="1"/>
  </cols>
  <sheetData>
    <row r="1" spans="1:17" ht="34" customHeight="1">
      <c r="A1" s="12" t="s">
        <v>158</v>
      </c>
      <c r="B1" s="12"/>
      <c r="C1" s="12"/>
      <c r="D1" s="12"/>
      <c r="E1" s="12"/>
      <c r="F1" s="12"/>
      <c r="G1" s="12"/>
      <c r="H1" s="12"/>
      <c r="I1" s="12"/>
      <c r="J1" s="12"/>
      <c r="K1" s="12"/>
      <c r="L1" s="12"/>
      <c r="M1" s="12"/>
      <c r="N1" s="12"/>
      <c r="O1" s="12"/>
      <c r="P1" s="12"/>
      <c r="Q1" s="12"/>
    </row>
    <row r="2" spans="1:17" ht="20" customHeight="1">
      <c r="A2" s="13" t="str">
        <f>"Clinic: "&amp;ClinicName&amp;"   |   Currency: "&amp;Currency&amp;"   |   Scenario: "&amp;Scenario</f>
        <v>Clinic: Al Noor Medical Centre (example)   |   Currency: AED   |   Scenario: Base</v>
      </c>
      <c r="B2" s="13"/>
      <c r="C2" s="13"/>
      <c r="D2" s="13"/>
      <c r="E2" s="13"/>
      <c r="F2" s="13"/>
      <c r="G2" s="13"/>
      <c r="H2" s="13"/>
      <c r="I2" s="13"/>
      <c r="J2" s="13"/>
      <c r="K2" s="13"/>
      <c r="L2" s="13"/>
      <c r="M2" s="13"/>
      <c r="N2" s="13"/>
      <c r="O2" s="13"/>
      <c r="P2" s="13"/>
      <c r="Q2" s="13"/>
    </row>
    <row r="4" spans="1:17">
      <c r="A4" s="32" t="s">
        <v>80</v>
      </c>
      <c r="D4" s="33">
        <v>1</v>
      </c>
      <c r="E4" s="33">
        <v>2</v>
      </c>
      <c r="F4" s="33">
        <v>3</v>
      </c>
      <c r="G4" s="33">
        <v>4</v>
      </c>
      <c r="H4" s="33">
        <v>5</v>
      </c>
      <c r="I4" s="33">
        <v>6</v>
      </c>
      <c r="J4" s="33">
        <v>7</v>
      </c>
      <c r="K4" s="33">
        <v>8</v>
      </c>
      <c r="L4" s="33">
        <v>9</v>
      </c>
      <c r="M4" s="33">
        <v>10</v>
      </c>
      <c r="N4" s="33">
        <v>11</v>
      </c>
      <c r="O4" s="33">
        <v>12</v>
      </c>
      <c r="P4" s="33">
        <v>13</v>
      </c>
      <c r="Q4" s="33" t="s">
        <v>172</v>
      </c>
    </row>
    <row r="5" spans="1:17">
      <c r="A5" s="21" t="s">
        <v>81</v>
      </c>
      <c r="D5" s="34">
        <f>StartDate</f>
        <v>46300</v>
      </c>
      <c r="E5" s="35">
        <f>D5+7</f>
        <v>46307</v>
      </c>
      <c r="F5" s="35">
        <f>E5+7</f>
        <v>46314</v>
      </c>
      <c r="G5" s="35">
        <f>F5+7</f>
        <v>46321</v>
      </c>
      <c r="H5" s="35">
        <f>G5+7</f>
        <v>46328</v>
      </c>
      <c r="I5" s="35">
        <f>H5+7</f>
        <v>46335</v>
      </c>
      <c r="J5" s="35">
        <f>I5+7</f>
        <v>46342</v>
      </c>
      <c r="K5" s="35">
        <f>J5+7</f>
        <v>46349</v>
      </c>
      <c r="L5" s="35">
        <f>K5+7</f>
        <v>46356</v>
      </c>
      <c r="M5" s="35">
        <f>L5+7</f>
        <v>46363</v>
      </c>
      <c r="N5" s="35">
        <f>M5+7</f>
        <v>46370</v>
      </c>
      <c r="O5" s="35">
        <f>N5+7</f>
        <v>46377</v>
      </c>
      <c r="P5" s="35">
        <f>O5+7</f>
        <v>46384</v>
      </c>
      <c r="Q5" s="35" t="s">
        <v>173</v>
      </c>
    </row>
    <row r="6" spans="1:17">
      <c r="A6" s="21" t="s">
        <v>82</v>
      </c>
      <c r="D6" s="35">
        <f>D5+6</f>
        <v>46306</v>
      </c>
      <c r="E6" s="35">
        <f>E5+6</f>
        <v>46313</v>
      </c>
      <c r="F6" s="35">
        <f>F5+6</f>
        <v>46320</v>
      </c>
      <c r="G6" s="35">
        <f>G5+6</f>
        <v>46327</v>
      </c>
      <c r="H6" s="35">
        <f>H5+6</f>
        <v>46334</v>
      </c>
      <c r="I6" s="35">
        <f>I5+6</f>
        <v>46341</v>
      </c>
      <c r="J6" s="35">
        <f>J5+6</f>
        <v>46348</v>
      </c>
      <c r="K6" s="35">
        <f>K5+6</f>
        <v>46355</v>
      </c>
      <c r="L6" s="35">
        <f>L5+6</f>
        <v>46362</v>
      </c>
      <c r="M6" s="35">
        <f>M5+6</f>
        <v>46369</v>
      </c>
      <c r="N6" s="35">
        <f>N5+6</f>
        <v>46376</v>
      </c>
      <c r="O6" s="35">
        <f>O5+6</f>
        <v>46383</v>
      </c>
      <c r="P6" s="35">
        <f>P5+6</f>
        <v>46390</v>
      </c>
      <c r="Q6" s="35"/>
    </row>
    <row r="8" spans="1:17">
      <c r="A8" s="32" t="s">
        <v>159</v>
      </c>
      <c r="B8" s="32"/>
      <c r="C8" s="32"/>
      <c r="D8" s="43">
        <f>OpeningCash</f>
        <v>450000</v>
      </c>
      <c r="E8" s="43">
        <f>D43</f>
        <v>348000</v>
      </c>
      <c r="F8" s="43">
        <f>E43</f>
        <v>412900</v>
      </c>
      <c r="G8" s="43">
        <f>F43</f>
        <v>575202</v>
      </c>
      <c r="H8" s="43">
        <f>G43</f>
        <v>377588.01</v>
      </c>
      <c r="I8" s="43">
        <f>H43</f>
        <v>492818.4500499999</v>
      </c>
      <c r="J8" s="43">
        <f>I43</f>
        <v>496002.5423002499</v>
      </c>
      <c r="K8" s="43">
        <f>J43</f>
        <v>515380.0550117511</v>
      </c>
      <c r="L8" s="43">
        <f>K43</f>
        <v>413161.9552868099</v>
      </c>
      <c r="M8" s="43">
        <f>L43</f>
        <v>571350.265063244</v>
      </c>
      <c r="N8" s="43">
        <f>M43</f>
        <v>627827.0163885602</v>
      </c>
      <c r="O8" s="43">
        <f>N43</f>
        <v>787208.651470503</v>
      </c>
      <c r="P8" s="43">
        <f>O43</f>
        <v>960047.5280662475</v>
      </c>
      <c r="Q8" s="43">
        <f>D8</f>
        <v>450000</v>
      </c>
    </row>
    <row r="10" spans="1:17">
      <c r="A10" s="15" t="s">
        <v>160</v>
      </c>
      <c r="B10" s="15"/>
      <c r="C10" s="15"/>
      <c r="D10" s="15"/>
      <c r="E10" s="15"/>
      <c r="F10" s="15"/>
      <c r="G10" s="15"/>
      <c r="H10" s="15"/>
      <c r="I10" s="15"/>
      <c r="J10" s="15"/>
      <c r="K10" s="15"/>
      <c r="L10" s="15"/>
      <c r="M10" s="15"/>
      <c r="N10" s="15"/>
      <c r="O10" s="15"/>
      <c r="P10" s="15"/>
      <c r="Q10" s="15"/>
    </row>
    <row r="11" spans="1:17">
      <c r="A11" s="9" t="str">
        <f>Revenue!A22</f>
        <v>Self pay (cash and card)</v>
      </c>
      <c r="D11" s="41">
        <f>Revenue!D22</f>
        <v>80000</v>
      </c>
      <c r="E11" s="41">
        <f>Revenue!E22</f>
        <v>80399.99999999999</v>
      </c>
      <c r="F11" s="41">
        <f>Revenue!F22</f>
        <v>80801.99999999999</v>
      </c>
      <c r="G11" s="41">
        <f>Revenue!G22</f>
        <v>81206.00999999997</v>
      </c>
      <c r="H11" s="41">
        <f>Revenue!H22</f>
        <v>81612.04004999997</v>
      </c>
      <c r="I11" s="41">
        <f>Revenue!I22</f>
        <v>82020.10025024995</v>
      </c>
      <c r="J11" s="41">
        <f>Revenue!J22</f>
        <v>82430.20075150121</v>
      </c>
      <c r="K11" s="41">
        <f>Revenue!K22</f>
        <v>82842.3517552587</v>
      </c>
      <c r="L11" s="41">
        <f>Revenue!L22</f>
        <v>83256.56351403499</v>
      </c>
      <c r="M11" s="41">
        <f>Revenue!M22</f>
        <v>83672.84633160513</v>
      </c>
      <c r="N11" s="41">
        <f>Revenue!N22</f>
        <v>84091.21056326317</v>
      </c>
      <c r="O11" s="41">
        <f>Revenue!O22</f>
        <v>76060.49995447152</v>
      </c>
      <c r="P11" s="41">
        <f>Revenue!P22</f>
        <v>76440.80245424388</v>
      </c>
      <c r="Q11" s="36">
        <f>SUM(D11:P11)</f>
        <v>1054834.625624628</v>
      </c>
    </row>
    <row r="12" spans="1:17">
      <c r="A12" s="9" t="str">
        <f>Revenue!A23</f>
        <v>Insurer A (large network)</v>
      </c>
      <c r="D12" s="41">
        <f>Revenue!D23</f>
        <v>0</v>
      </c>
      <c r="E12" s="41">
        <f>Revenue!E23</f>
        <v>0</v>
      </c>
      <c r="F12" s="41">
        <f>Revenue!F23</f>
        <v>0</v>
      </c>
      <c r="G12" s="41">
        <f>Revenue!G23</f>
        <v>0</v>
      </c>
      <c r="H12" s="41">
        <f>Revenue!H23</f>
        <v>0</v>
      </c>
      <c r="I12" s="41">
        <f>Revenue!I23</f>
        <v>0</v>
      </c>
      <c r="J12" s="41">
        <f>Revenue!J23</f>
        <v>90240</v>
      </c>
      <c r="K12" s="41">
        <f>Revenue!K23</f>
        <v>90691.19999999998</v>
      </c>
      <c r="L12" s="41">
        <f>Revenue!L23</f>
        <v>91144.65599999997</v>
      </c>
      <c r="M12" s="41">
        <f>Revenue!M23</f>
        <v>91600.37927999995</v>
      </c>
      <c r="N12" s="41">
        <f>Revenue!N23</f>
        <v>92058.38117639995</v>
      </c>
      <c r="O12" s="41">
        <f>Revenue!O23</f>
        <v>92518.67308228194</v>
      </c>
      <c r="P12" s="41">
        <f>Revenue!P23</f>
        <v>92981.26644769336</v>
      </c>
      <c r="Q12" s="36">
        <f>SUM(D12:P12)</f>
        <v>641234.5559863751</v>
      </c>
    </row>
    <row r="13" spans="1:17">
      <c r="A13" s="9" t="str">
        <f>Revenue!A24</f>
        <v>Insurer B</v>
      </c>
      <c r="D13" s="41">
        <f>Revenue!D24</f>
        <v>0</v>
      </c>
      <c r="E13" s="41">
        <f>Revenue!E24</f>
        <v>0</v>
      </c>
      <c r="F13" s="41">
        <f>Revenue!F24</f>
        <v>0</v>
      </c>
      <c r="G13" s="41">
        <f>Revenue!G24</f>
        <v>0</v>
      </c>
      <c r="H13" s="41">
        <f>Revenue!H24</f>
        <v>0</v>
      </c>
      <c r="I13" s="41">
        <f>Revenue!I24</f>
        <v>0</v>
      </c>
      <c r="J13" s="41">
        <f>Revenue!J24</f>
        <v>0</v>
      </c>
      <c r="K13" s="41">
        <f>Revenue!K24</f>
        <v>0</v>
      </c>
      <c r="L13" s="41">
        <f>Revenue!L24</f>
        <v>0</v>
      </c>
      <c r="M13" s="41">
        <f>Revenue!M24</f>
        <v>58880</v>
      </c>
      <c r="N13" s="41">
        <f>Revenue!N24</f>
        <v>59174.39999999999</v>
      </c>
      <c r="O13" s="41">
        <f>Revenue!O24</f>
        <v>59470.272</v>
      </c>
      <c r="P13" s="41">
        <f>Revenue!P24</f>
        <v>59767.62335999998</v>
      </c>
      <c r="Q13" s="36">
        <f>SUM(D13:P13)</f>
        <v>237292.29536</v>
      </c>
    </row>
    <row r="14" spans="1:17">
      <c r="A14" s="9" t="str">
        <f>Revenue!A25</f>
        <v>Government schemes</v>
      </c>
      <c r="D14" s="41">
        <f>Revenue!D25</f>
        <v>0</v>
      </c>
      <c r="E14" s="41">
        <f>Revenue!E25</f>
        <v>0</v>
      </c>
      <c r="F14" s="41">
        <f>Revenue!F25</f>
        <v>0</v>
      </c>
      <c r="G14" s="41">
        <f>Revenue!G25</f>
        <v>0</v>
      </c>
      <c r="H14" s="41">
        <f>Revenue!H25</f>
        <v>0</v>
      </c>
      <c r="I14" s="41">
        <f>Revenue!I25</f>
        <v>0</v>
      </c>
      <c r="J14" s="41">
        <f>Revenue!J25</f>
        <v>0</v>
      </c>
      <c r="K14" s="41">
        <f>Revenue!K25</f>
        <v>0</v>
      </c>
      <c r="L14" s="41">
        <f>Revenue!L25</f>
        <v>0</v>
      </c>
      <c r="M14" s="41">
        <f>Revenue!M25</f>
        <v>0</v>
      </c>
      <c r="N14" s="41">
        <f>Revenue!N25</f>
        <v>0</v>
      </c>
      <c r="O14" s="41">
        <f>Revenue!O25</f>
        <v>45600</v>
      </c>
      <c r="P14" s="41">
        <f>Revenue!P25</f>
        <v>45827.99999999999</v>
      </c>
      <c r="Q14" s="36">
        <f>SUM(D14:P14)</f>
        <v>91428</v>
      </c>
    </row>
    <row r="15" spans="1:17">
      <c r="A15" s="9" t="str">
        <f>Revenue!A26</f>
        <v>Corporate accounts</v>
      </c>
      <c r="D15" s="41">
        <f>Revenue!D26</f>
        <v>0</v>
      </c>
      <c r="E15" s="41">
        <f>Revenue!E26</f>
        <v>0</v>
      </c>
      <c r="F15" s="41">
        <f>Revenue!F26</f>
        <v>0</v>
      </c>
      <c r="G15" s="41">
        <f>Revenue!G26</f>
        <v>0</v>
      </c>
      <c r="H15" s="41">
        <f>Revenue!H26</f>
        <v>31360</v>
      </c>
      <c r="I15" s="41">
        <f>Revenue!I26</f>
        <v>31516.8</v>
      </c>
      <c r="J15" s="41">
        <f>Revenue!J26</f>
        <v>31674.38399999999</v>
      </c>
      <c r="K15" s="41">
        <f>Revenue!K26</f>
        <v>31832.75591999999</v>
      </c>
      <c r="L15" s="41">
        <f>Revenue!L26</f>
        <v>31991.91969959999</v>
      </c>
      <c r="M15" s="41">
        <f>Revenue!M26</f>
        <v>32151.87929809798</v>
      </c>
      <c r="N15" s="41">
        <f>Revenue!N26</f>
        <v>32312.63869458848</v>
      </c>
      <c r="O15" s="41">
        <f>Revenue!O26</f>
        <v>32474.20188806141</v>
      </c>
      <c r="P15" s="41">
        <f>Revenue!P26</f>
        <v>32636.57289750172</v>
      </c>
      <c r="Q15" s="36">
        <f>SUM(D15:P15)</f>
        <v>287951.1523978495</v>
      </c>
    </row>
    <row r="16" spans="1:17">
      <c r="A16" s="9" t="str">
        <f>Revenue!A27</f>
        <v>Other payer (spare)</v>
      </c>
      <c r="D16" s="41">
        <f>Revenue!D27</f>
        <v>0</v>
      </c>
      <c r="E16" s="41">
        <f>Revenue!E27</f>
        <v>0</v>
      </c>
      <c r="F16" s="41">
        <f>Revenue!F27</f>
        <v>0</v>
      </c>
      <c r="G16" s="41">
        <f>Revenue!G27</f>
        <v>0</v>
      </c>
      <c r="H16" s="41">
        <f>Revenue!H27</f>
        <v>0</v>
      </c>
      <c r="I16" s="41">
        <f>Revenue!I27</f>
        <v>0</v>
      </c>
      <c r="J16" s="41">
        <f>Revenue!J27</f>
        <v>0</v>
      </c>
      <c r="K16" s="41">
        <f>Revenue!K27</f>
        <v>0</v>
      </c>
      <c r="L16" s="41">
        <f>Revenue!L27</f>
        <v>0</v>
      </c>
      <c r="M16" s="41">
        <f>Revenue!M27</f>
        <v>0</v>
      </c>
      <c r="N16" s="41">
        <f>Revenue!N27</f>
        <v>0</v>
      </c>
      <c r="O16" s="41">
        <f>Revenue!O27</f>
        <v>0</v>
      </c>
      <c r="P16" s="41">
        <f>Revenue!P27</f>
        <v>0</v>
      </c>
      <c r="Q16" s="36">
        <f>SUM(D16:P16)</f>
        <v>0</v>
      </c>
    </row>
    <row r="17" spans="1:17">
      <c r="A17" s="8" t="s">
        <v>161</v>
      </c>
      <c r="D17" s="41">
        <f>Revenue!D28</f>
        <v>226000</v>
      </c>
      <c r="E17" s="41">
        <f>Revenue!E28</f>
        <v>226000</v>
      </c>
      <c r="F17" s="41">
        <f>Revenue!F28</f>
        <v>226000</v>
      </c>
      <c r="G17" s="41">
        <f>Revenue!G28</f>
        <v>226000</v>
      </c>
      <c r="H17" s="41">
        <f>Revenue!H28</f>
        <v>195000</v>
      </c>
      <c r="I17" s="41">
        <f>Revenue!I28</f>
        <v>195000</v>
      </c>
      <c r="J17" s="41">
        <f>Revenue!J28</f>
        <v>104000</v>
      </c>
      <c r="K17" s="41">
        <f>Revenue!K28</f>
        <v>104000</v>
      </c>
      <c r="L17" s="41">
        <f>Revenue!L28</f>
        <v>104000</v>
      </c>
      <c r="M17" s="41">
        <f>Revenue!M28</f>
        <v>46000</v>
      </c>
      <c r="N17" s="41">
        <f>Revenue!N28</f>
        <v>46000</v>
      </c>
      <c r="O17" s="41">
        <f>Revenue!O28</f>
        <v>0</v>
      </c>
      <c r="P17" s="41">
        <f>Revenue!P28</f>
        <v>0</v>
      </c>
      <c r="Q17" s="36">
        <f>SUM(D17:P17)</f>
        <v>1698000</v>
      </c>
    </row>
    <row r="18" spans="1:17">
      <c r="A18" s="8" t="s">
        <v>91</v>
      </c>
      <c r="D18" s="41">
        <f>Revenue!D29</f>
        <v>0</v>
      </c>
      <c r="E18" s="41">
        <f>Revenue!E29</f>
        <v>0</v>
      </c>
      <c r="F18" s="41">
        <f>Revenue!F29</f>
        <v>0</v>
      </c>
      <c r="G18" s="41">
        <f>Revenue!G29</f>
        <v>0</v>
      </c>
      <c r="H18" s="41">
        <f>Revenue!H29</f>
        <v>0</v>
      </c>
      <c r="I18" s="41">
        <f>Revenue!I29</f>
        <v>0</v>
      </c>
      <c r="J18" s="41">
        <f>Revenue!J29</f>
        <v>0</v>
      </c>
      <c r="K18" s="41">
        <f>Revenue!K29</f>
        <v>0</v>
      </c>
      <c r="L18" s="41">
        <f>Revenue!L29</f>
        <v>25000</v>
      </c>
      <c r="M18" s="41">
        <f>Revenue!M29</f>
        <v>0</v>
      </c>
      <c r="N18" s="41">
        <f>Revenue!N29</f>
        <v>0</v>
      </c>
      <c r="O18" s="41">
        <f>Revenue!O29</f>
        <v>0</v>
      </c>
      <c r="P18" s="41">
        <f>Revenue!P29</f>
        <v>0</v>
      </c>
      <c r="Q18" s="36">
        <f>SUM(D18:P18)</f>
        <v>25000</v>
      </c>
    </row>
    <row r="19" spans="1:17">
      <c r="A19" s="29" t="s">
        <v>103</v>
      </c>
      <c r="B19" s="29"/>
      <c r="C19" s="29"/>
      <c r="D19" s="36">
        <f>SUM(D11:D18)</f>
        <v>306000</v>
      </c>
      <c r="E19" s="36">
        <f>SUM(E11:E18)</f>
        <v>306400</v>
      </c>
      <c r="F19" s="36">
        <f>SUM(F11:F18)</f>
        <v>306802</v>
      </c>
      <c r="G19" s="36">
        <f>SUM(G11:G18)</f>
        <v>307206.01</v>
      </c>
      <c r="H19" s="36">
        <f>SUM(H11:H18)</f>
        <v>307972.04005</v>
      </c>
      <c r="I19" s="36">
        <f>SUM(I11:I18)</f>
        <v>308536.9002502499</v>
      </c>
      <c r="J19" s="36">
        <f>SUM(J11:J18)</f>
        <v>308344.5847515012</v>
      </c>
      <c r="K19" s="36">
        <f>SUM(K11:K18)</f>
        <v>309366.3076752587</v>
      </c>
      <c r="L19" s="36">
        <f>SUM(L11:L18)</f>
        <v>335393.139213635</v>
      </c>
      <c r="M19" s="36">
        <f>SUM(M11:M18)</f>
        <v>312305.1049097031</v>
      </c>
      <c r="N19" s="36">
        <f>SUM(N11:N18)</f>
        <v>313636.6304342516</v>
      </c>
      <c r="O19" s="36">
        <f>SUM(O11:O18)</f>
        <v>306123.6469248148</v>
      </c>
      <c r="P19" s="36">
        <f>SUM(P11:P18)</f>
        <v>307654.2651594389</v>
      </c>
      <c r="Q19" s="36">
        <f>SUM(D19:P19)</f>
        <v>4035740.629368854</v>
      </c>
    </row>
    <row r="21" spans="1:17">
      <c r="A21" s="15" t="s">
        <v>162</v>
      </c>
      <c r="B21" s="15"/>
      <c r="C21" s="15"/>
      <c r="D21" s="15"/>
      <c r="E21" s="15"/>
      <c r="F21" s="15"/>
      <c r="G21" s="15"/>
      <c r="H21" s="15"/>
      <c r="I21" s="15"/>
      <c r="J21" s="15"/>
      <c r="K21" s="15"/>
      <c r="L21" s="15"/>
      <c r="M21" s="15"/>
      <c r="N21" s="15"/>
      <c r="O21" s="15"/>
      <c r="P21" s="15"/>
      <c r="Q21" s="15"/>
    </row>
    <row r="22" spans="1:17">
      <c r="A22" s="9" t="str">
        <f>Setup!B39</f>
        <v>Medical supplies and consumables</v>
      </c>
      <c r="D22" s="19">
        <f>(1+CostAdj)*Setup!$C39*IF(D$4-Setup!$E39&gt;=1,INDEX(Revenue!$D$10:$P$10,1,D$4-Setup!$E39),0)</f>
        <v>0</v>
      </c>
      <c r="E22" s="19">
        <f>(1+CostAdj)*Setup!$C39*IF(E$4-Setup!$E39&gt;=1,INDEX(Revenue!$D$10:$P$10,1,E$4-Setup!$E39),0)</f>
        <v>0</v>
      </c>
      <c r="F22" s="19">
        <f>(1+CostAdj)*Setup!$C39*IF(F$4-Setup!$E39&gt;=1,INDEX(Revenue!$D$10:$P$10,1,F$4-Setup!$E39),0)</f>
        <v>0</v>
      </c>
      <c r="G22" s="19">
        <f>(1+CostAdj)*Setup!$C39*IF(G$4-Setup!$E39&gt;=1,INDEX(Revenue!$D$10:$P$10,1,G$4-Setup!$E39),0)</f>
        <v>0</v>
      </c>
      <c r="H22" s="19">
        <f>(1+CostAdj)*Setup!$C39*IF(H$4-Setup!$E39&gt;=1,INDEX(Revenue!$D$10:$P$10,1,H$4-Setup!$E39),0)</f>
        <v>38400</v>
      </c>
      <c r="I22" s="19">
        <f>(1+CostAdj)*Setup!$C39*IF(I$4-Setup!$E39&gt;=1,INDEX(Revenue!$D$10:$P$10,1,I$4-Setup!$E39),0)</f>
        <v>38591.99999999999</v>
      </c>
      <c r="J22" s="19">
        <f>(1+CostAdj)*Setup!$C39*IF(J$4-Setup!$E39&gt;=1,INDEX(Revenue!$D$10:$P$10,1,J$4-Setup!$E39),0)</f>
        <v>38784.95999999999</v>
      </c>
      <c r="K22" s="19">
        <f>(1+CostAdj)*Setup!$C39*IF(K$4-Setup!$E39&gt;=1,INDEX(Revenue!$D$10:$P$10,1,K$4-Setup!$E39),0)</f>
        <v>38978.88479999999</v>
      </c>
      <c r="L22" s="19">
        <f>(1+CostAdj)*Setup!$C39*IF(L$4-Setup!$E39&gt;=1,INDEX(Revenue!$D$10:$P$10,1,L$4-Setup!$E39),0)</f>
        <v>39173.77922399998</v>
      </c>
      <c r="M22" s="19">
        <f>(1+CostAdj)*Setup!$C39*IF(M$4-Setup!$E39&gt;=1,INDEX(Revenue!$D$10:$P$10,1,M$4-Setup!$E39),0)</f>
        <v>39369.64812011997</v>
      </c>
      <c r="N22" s="19">
        <f>(1+CostAdj)*Setup!$C39*IF(N$4-Setup!$E39&gt;=1,INDEX(Revenue!$D$10:$P$10,1,N$4-Setup!$E39),0)</f>
        <v>39566.49636072058</v>
      </c>
      <c r="O22" s="19">
        <f>(1+CostAdj)*Setup!$C39*IF(O$4-Setup!$E39&gt;=1,INDEX(Revenue!$D$10:$P$10,1,O$4-Setup!$E39),0)</f>
        <v>39764.32884252418</v>
      </c>
      <c r="P22" s="19">
        <f>(1+CostAdj)*Setup!$C39*IF(P$4-Setup!$E39&gt;=1,INDEX(Revenue!$D$10:$P$10,1,P$4-Setup!$E39),0)</f>
        <v>39963.15048673679</v>
      </c>
      <c r="Q22" s="36">
        <f>SUM(D22:P22)</f>
        <v>352593.2478341014</v>
      </c>
    </row>
    <row r="23" spans="1:17">
      <c r="A23" s="9" t="str">
        <f>Setup!B40</f>
        <v>Laboratory and third party services</v>
      </c>
      <c r="D23" s="19">
        <f>(1+CostAdj)*Setup!$C40*IF(D$4-Setup!$E40&gt;=1,INDEX(Revenue!$D$10:$P$10,1,D$4-Setup!$E40),0)</f>
        <v>0</v>
      </c>
      <c r="E23" s="19">
        <f>(1+CostAdj)*Setup!$C40*IF(E$4-Setup!$E40&gt;=1,INDEX(Revenue!$D$10:$P$10,1,E$4-Setup!$E40),0)</f>
        <v>0</v>
      </c>
      <c r="F23" s="19">
        <f>(1+CostAdj)*Setup!$C40*IF(F$4-Setup!$E40&gt;=1,INDEX(Revenue!$D$10:$P$10,1,F$4-Setup!$E40),0)</f>
        <v>0</v>
      </c>
      <c r="G23" s="19">
        <f>(1+CostAdj)*Setup!$C40*IF(G$4-Setup!$E40&gt;=1,INDEX(Revenue!$D$10:$P$10,1,G$4-Setup!$E40),0)</f>
        <v>0</v>
      </c>
      <c r="H23" s="19">
        <f>(1+CostAdj)*Setup!$C40*IF(H$4-Setup!$E40&gt;=1,INDEX(Revenue!$D$10:$P$10,1,H$4-Setup!$E40),0)</f>
        <v>19200</v>
      </c>
      <c r="I23" s="19">
        <f>(1+CostAdj)*Setup!$C40*IF(I$4-Setup!$E40&gt;=1,INDEX(Revenue!$D$10:$P$10,1,I$4-Setup!$E40),0)</f>
        <v>19296</v>
      </c>
      <c r="J23" s="19">
        <f>(1+CostAdj)*Setup!$C40*IF(J$4-Setup!$E40&gt;=1,INDEX(Revenue!$D$10:$P$10,1,J$4-Setup!$E40),0)</f>
        <v>19392.48</v>
      </c>
      <c r="K23" s="19">
        <f>(1+CostAdj)*Setup!$C40*IF(K$4-Setup!$E40&gt;=1,INDEX(Revenue!$D$10:$P$10,1,K$4-Setup!$E40),0)</f>
        <v>19489.44239999999</v>
      </c>
      <c r="L23" s="19">
        <f>(1+CostAdj)*Setup!$C40*IF(L$4-Setup!$E40&gt;=1,INDEX(Revenue!$D$10:$P$10,1,L$4-Setup!$E40),0)</f>
        <v>19586.88961199999</v>
      </c>
      <c r="M23" s="19">
        <f>(1+CostAdj)*Setup!$C40*IF(M$4-Setup!$E40&gt;=1,INDEX(Revenue!$D$10:$P$10,1,M$4-Setup!$E40),0)</f>
        <v>19684.82406005999</v>
      </c>
      <c r="N23" s="19">
        <f>(1+CostAdj)*Setup!$C40*IF(N$4-Setup!$E40&gt;=1,INDEX(Revenue!$D$10:$P$10,1,N$4-Setup!$E40),0)</f>
        <v>19783.24818036029</v>
      </c>
      <c r="O23" s="19">
        <f>(1+CostAdj)*Setup!$C40*IF(O$4-Setup!$E40&gt;=1,INDEX(Revenue!$D$10:$P$10,1,O$4-Setup!$E40),0)</f>
        <v>19882.16442126209</v>
      </c>
      <c r="P23" s="19">
        <f>(1+CostAdj)*Setup!$C40*IF(P$4-Setup!$E40&gt;=1,INDEX(Revenue!$D$10:$P$10,1,P$4-Setup!$E40),0)</f>
        <v>19981.5752433684</v>
      </c>
      <c r="Q23" s="36">
        <f>SUM(D23:P23)</f>
        <v>176296.6239170507</v>
      </c>
    </row>
    <row r="24" spans="1:17">
      <c r="A24" s="9" t="str">
        <f>Setup!B41</f>
        <v>Doctor fee share (paid on billings)</v>
      </c>
      <c r="D24" s="19">
        <f>(1+CostAdj)*Setup!$C41*IF(D$4-Setup!$E41&gt;=1,INDEX(Revenue!$D$10:$P$10,1,D$4-Setup!$E41),0)</f>
        <v>0</v>
      </c>
      <c r="E24" s="19">
        <f>(1+CostAdj)*Setup!$C41*IF(E$4-Setup!$E41&gt;=1,INDEX(Revenue!$D$10:$P$10,1,E$4-Setup!$E41),0)</f>
        <v>0</v>
      </c>
      <c r="F24" s="19">
        <f>(1+CostAdj)*Setup!$C41*IF(F$4-Setup!$E41&gt;=1,INDEX(Revenue!$D$10:$P$10,1,F$4-Setup!$E41),0)</f>
        <v>64000</v>
      </c>
      <c r="G24" s="19">
        <f>(1+CostAdj)*Setup!$C41*IF(G$4-Setup!$E41&gt;=1,INDEX(Revenue!$D$10:$P$10,1,G$4-Setup!$E41),0)</f>
        <v>64319.99999999999</v>
      </c>
      <c r="H24" s="19">
        <f>(1+CostAdj)*Setup!$C41*IF(H$4-Setup!$E41&gt;=1,INDEX(Revenue!$D$10:$P$10,1,H$4-Setup!$E41),0)</f>
        <v>64641.59999999999</v>
      </c>
      <c r="I24" s="19">
        <f>(1+CostAdj)*Setup!$C41*IF(I$4-Setup!$E41&gt;=1,INDEX(Revenue!$D$10:$P$10,1,I$4-Setup!$E41),0)</f>
        <v>64964.80799999998</v>
      </c>
      <c r="J24" s="19">
        <f>(1+CostAdj)*Setup!$C41*IF(J$4-Setup!$E41&gt;=1,INDEX(Revenue!$D$10:$P$10,1,J$4-Setup!$E41),0)</f>
        <v>65289.63203999997</v>
      </c>
      <c r="K24" s="19">
        <f>(1+CostAdj)*Setup!$C41*IF(K$4-Setup!$E41&gt;=1,INDEX(Revenue!$D$10:$P$10,1,K$4-Setup!$E41),0)</f>
        <v>65616.08020019995</v>
      </c>
      <c r="L24" s="19">
        <f>(1+CostAdj)*Setup!$C41*IF(L$4-Setup!$E41&gt;=1,INDEX(Revenue!$D$10:$P$10,1,L$4-Setup!$E41),0)</f>
        <v>65944.16060120097</v>
      </c>
      <c r="M24" s="19">
        <f>(1+CostAdj)*Setup!$C41*IF(M$4-Setup!$E41&gt;=1,INDEX(Revenue!$D$10:$P$10,1,M$4-Setup!$E41),0)</f>
        <v>66273.88140420696</v>
      </c>
      <c r="N24" s="19">
        <f>(1+CostAdj)*Setup!$C41*IF(N$4-Setup!$E41&gt;=1,INDEX(Revenue!$D$10:$P$10,1,N$4-Setup!$E41),0)</f>
        <v>66605.25081122799</v>
      </c>
      <c r="O24" s="19">
        <f>(1+CostAdj)*Setup!$C41*IF(O$4-Setup!$E41&gt;=1,INDEX(Revenue!$D$10:$P$10,1,O$4-Setup!$E41),0)</f>
        <v>66938.27706528411</v>
      </c>
      <c r="P24" s="19">
        <f>(1+CostAdj)*Setup!$C41*IF(P$4-Setup!$E41&gt;=1,INDEX(Revenue!$D$10:$P$10,1,P$4-Setup!$E41),0)</f>
        <v>67272.96845061054</v>
      </c>
      <c r="Q24" s="36">
        <f>SUM(D24:P24)</f>
        <v>721866.6585727304</v>
      </c>
    </row>
    <row r="25" spans="1:17">
      <c r="A25" s="9" t="str">
        <f>Setup!B42</f>
        <v>Other variable cost (spare)</v>
      </c>
      <c r="D25" s="19">
        <f>(1+CostAdj)*Setup!$C42*IF(D$4-Setup!$E42&gt;=1,INDEX(Revenue!$D$10:$P$10,1,D$4-Setup!$E42),0)</f>
        <v>0</v>
      </c>
      <c r="E25" s="19">
        <f>(1+CostAdj)*Setup!$C42*IF(E$4-Setup!$E42&gt;=1,INDEX(Revenue!$D$10:$P$10,1,E$4-Setup!$E42),0)</f>
        <v>0</v>
      </c>
      <c r="F25" s="19">
        <f>(1+CostAdj)*Setup!$C42*IF(F$4-Setup!$E42&gt;=1,INDEX(Revenue!$D$10:$P$10,1,F$4-Setup!$E42),0)</f>
        <v>0</v>
      </c>
      <c r="G25" s="19">
        <f>(1+CostAdj)*Setup!$C42*IF(G$4-Setup!$E42&gt;=1,INDEX(Revenue!$D$10:$P$10,1,G$4-Setup!$E42),0)</f>
        <v>0</v>
      </c>
      <c r="H25" s="19">
        <f>(1+CostAdj)*Setup!$C42*IF(H$4-Setup!$E42&gt;=1,INDEX(Revenue!$D$10:$P$10,1,H$4-Setup!$E42),0)</f>
        <v>0</v>
      </c>
      <c r="I25" s="19">
        <f>(1+CostAdj)*Setup!$C42*IF(I$4-Setup!$E42&gt;=1,INDEX(Revenue!$D$10:$P$10,1,I$4-Setup!$E42),0)</f>
        <v>0</v>
      </c>
      <c r="J25" s="19">
        <f>(1+CostAdj)*Setup!$C42*IF(J$4-Setup!$E42&gt;=1,INDEX(Revenue!$D$10:$P$10,1,J$4-Setup!$E42),0)</f>
        <v>0</v>
      </c>
      <c r="K25" s="19">
        <f>(1+CostAdj)*Setup!$C42*IF(K$4-Setup!$E42&gt;=1,INDEX(Revenue!$D$10:$P$10,1,K$4-Setup!$E42),0)</f>
        <v>0</v>
      </c>
      <c r="L25" s="19">
        <f>(1+CostAdj)*Setup!$C42*IF(L$4-Setup!$E42&gt;=1,INDEX(Revenue!$D$10:$P$10,1,L$4-Setup!$E42),0)</f>
        <v>0</v>
      </c>
      <c r="M25" s="19">
        <f>(1+CostAdj)*Setup!$C42*IF(M$4-Setup!$E42&gt;=1,INDEX(Revenue!$D$10:$P$10,1,M$4-Setup!$E42),0)</f>
        <v>0</v>
      </c>
      <c r="N25" s="19">
        <f>(1+CostAdj)*Setup!$C42*IF(N$4-Setup!$E42&gt;=1,INDEX(Revenue!$D$10:$P$10,1,N$4-Setup!$E42),0)</f>
        <v>0</v>
      </c>
      <c r="O25" s="19">
        <f>(1+CostAdj)*Setup!$C42*IF(O$4-Setup!$E42&gt;=1,INDEX(Revenue!$D$10:$P$10,1,O$4-Setup!$E42),0)</f>
        <v>0</v>
      </c>
      <c r="P25" s="19">
        <f>(1+CostAdj)*Setup!$C42*IF(P$4-Setup!$E42&gt;=1,INDEX(Revenue!$D$10:$P$10,1,P$4-Setup!$E42),0)</f>
        <v>0</v>
      </c>
      <c r="Q25" s="36">
        <f>SUM(D25:P25)</f>
        <v>0</v>
      </c>
    </row>
    <row r="26" spans="1:17">
      <c r="A26" s="8" t="s">
        <v>0</v>
      </c>
      <c r="D26" s="41">
        <f>SUMIFS(Payments!H$9:H$38,Payments!$C$9:$C$38,$A26)</f>
        <v>0</v>
      </c>
      <c r="E26" s="41">
        <f>SUMIFS(Payments!I$9:I$38,Payments!$C$9:$C$38,$A26)</f>
        <v>0</v>
      </c>
      <c r="F26" s="41">
        <f>SUMIFS(Payments!J$9:J$38,Payments!$C$9:$C$38,$A26)</f>
        <v>0</v>
      </c>
      <c r="G26" s="41">
        <f>SUMIFS(Payments!K$9:K$38,Payments!$C$9:$C$38,$A26)</f>
        <v>285000</v>
      </c>
      <c r="H26" s="41">
        <f>SUMIFS(Payments!L$9:L$38,Payments!$C$9:$C$38,$A26)</f>
        <v>0</v>
      </c>
      <c r="I26" s="41">
        <f>SUMIFS(Payments!M$9:M$38,Payments!$C$9:$C$38,$A26)</f>
        <v>0</v>
      </c>
      <c r="J26" s="41">
        <f>SUMIFS(Payments!N$9:N$38,Payments!$C$9:$C$38,$A26)</f>
        <v>0</v>
      </c>
      <c r="K26" s="41">
        <f>SUMIFS(Payments!O$9:O$38,Payments!$C$9:$C$38,$A26)</f>
        <v>285000</v>
      </c>
      <c r="L26" s="41">
        <f>SUMIFS(Payments!P$9:P$38,Payments!$C$9:$C$38,$A26)</f>
        <v>0</v>
      </c>
      <c r="M26" s="41">
        <f>SUMIFS(Payments!Q$9:Q$38,Payments!$C$9:$C$38,$A26)</f>
        <v>0</v>
      </c>
      <c r="N26" s="41">
        <f>SUMIFS(Payments!R$9:R$38,Payments!$C$9:$C$38,$A26)</f>
        <v>0</v>
      </c>
      <c r="O26" s="41">
        <f>SUMIFS(Payments!S$9:S$38,Payments!$C$9:$C$38,$A26)</f>
        <v>0</v>
      </c>
      <c r="P26" s="41">
        <f>SUMIFS(Payments!T$9:T$38,Payments!$C$9:$C$38,$A26)</f>
        <v>285000</v>
      </c>
      <c r="Q26" s="36">
        <f>SUM(D26:P26)</f>
        <v>855000</v>
      </c>
    </row>
    <row r="27" spans="1:17">
      <c r="A27" s="8" t="s">
        <v>1</v>
      </c>
      <c r="D27" s="41">
        <f>SUMIFS(Payments!H$9:H$38,Payments!$C$9:$C$38,$A27)</f>
        <v>0</v>
      </c>
      <c r="E27" s="41">
        <f>SUMIFS(Payments!I$9:I$38,Payments!$C$9:$C$38,$A27)</f>
        <v>95000</v>
      </c>
      <c r="F27" s="41">
        <f>SUMIFS(Payments!J$9:J$38,Payments!$C$9:$C$38,$A27)</f>
        <v>0</v>
      </c>
      <c r="G27" s="41">
        <f>SUMIFS(Payments!K$9:K$38,Payments!$C$9:$C$38,$A27)</f>
        <v>0</v>
      </c>
      <c r="H27" s="41">
        <f>SUMIFS(Payments!L$9:L$38,Payments!$C$9:$C$38,$A27)</f>
        <v>0</v>
      </c>
      <c r="I27" s="41">
        <f>SUMIFS(Payments!M$9:M$38,Payments!$C$9:$C$38,$A27)</f>
        <v>95000</v>
      </c>
      <c r="J27" s="41">
        <f>SUMIFS(Payments!N$9:N$38,Payments!$C$9:$C$38,$A27)</f>
        <v>0</v>
      </c>
      <c r="K27" s="41">
        <f>SUMIFS(Payments!O$9:O$38,Payments!$C$9:$C$38,$A27)</f>
        <v>0</v>
      </c>
      <c r="L27" s="41">
        <f>SUMIFS(Payments!P$9:P$38,Payments!$C$9:$C$38,$A27)</f>
        <v>0</v>
      </c>
      <c r="M27" s="41">
        <f>SUMIFS(Payments!Q$9:Q$38,Payments!$C$9:$C$38,$A27)</f>
        <v>95000</v>
      </c>
      <c r="N27" s="41">
        <f>SUMIFS(Payments!R$9:R$38,Payments!$C$9:$C$38,$A27)</f>
        <v>0</v>
      </c>
      <c r="O27" s="41">
        <f>SUMIFS(Payments!S$9:S$38,Payments!$C$9:$C$38,$A27)</f>
        <v>0</v>
      </c>
      <c r="P27" s="41">
        <f>SUMIFS(Payments!T$9:T$38,Payments!$C$9:$C$38,$A27)</f>
        <v>0</v>
      </c>
      <c r="Q27" s="36">
        <f>SUM(D27:P27)</f>
        <v>285000</v>
      </c>
    </row>
    <row r="28" spans="1:17">
      <c r="A28" s="8" t="s">
        <v>2</v>
      </c>
      <c r="D28" s="41">
        <f>SUMIFS(Payments!H$9:H$38,Payments!$C$9:$C$38,$A28)</f>
        <v>224500</v>
      </c>
      <c r="E28" s="41">
        <f>SUMIFS(Payments!I$9:I$38,Payments!$C$9:$C$38,$A28)</f>
        <v>0</v>
      </c>
      <c r="F28" s="41">
        <f>SUMIFS(Payments!J$9:J$38,Payments!$C$9:$C$38,$A28)</f>
        <v>0</v>
      </c>
      <c r="G28" s="41">
        <f>SUMIFS(Payments!K$9:K$38,Payments!$C$9:$C$38,$A28)</f>
        <v>0</v>
      </c>
      <c r="H28" s="41">
        <f>SUMIFS(Payments!L$9:L$38,Payments!$C$9:$C$38,$A28)</f>
        <v>14500</v>
      </c>
      <c r="I28" s="41">
        <f>SUMIFS(Payments!M$9:M$38,Payments!$C$9:$C$38,$A28)</f>
        <v>0</v>
      </c>
      <c r="J28" s="41">
        <f>SUMIFS(Payments!N$9:N$38,Payments!$C$9:$C$38,$A28)</f>
        <v>0</v>
      </c>
      <c r="K28" s="41">
        <f>SUMIFS(Payments!O$9:O$38,Payments!$C$9:$C$38,$A28)</f>
        <v>0</v>
      </c>
      <c r="L28" s="41">
        <f>SUMIFS(Payments!P$9:P$38,Payments!$C$9:$C$38,$A28)</f>
        <v>14500</v>
      </c>
      <c r="M28" s="41">
        <f>SUMIFS(Payments!Q$9:Q$38,Payments!$C$9:$C$38,$A28)</f>
        <v>0</v>
      </c>
      <c r="N28" s="41">
        <f>SUMIFS(Payments!R$9:R$38,Payments!$C$9:$C$38,$A28)</f>
        <v>0</v>
      </c>
      <c r="O28" s="41">
        <f>SUMIFS(Payments!S$9:S$38,Payments!$C$9:$C$38,$A28)</f>
        <v>0</v>
      </c>
      <c r="P28" s="41">
        <f>SUMIFS(Payments!T$9:T$38,Payments!$C$9:$C$38,$A28)</f>
        <v>0</v>
      </c>
      <c r="Q28" s="36">
        <f>SUM(D28:P28)</f>
        <v>253500</v>
      </c>
    </row>
    <row r="29" spans="1:17">
      <c r="A29" s="8" t="s">
        <v>3</v>
      </c>
      <c r="D29" s="41">
        <f>SUMIFS(Payments!H$9:H$38,Payments!$C$9:$C$38,$A29)</f>
        <v>0</v>
      </c>
      <c r="E29" s="41">
        <f>SUMIFS(Payments!I$9:I$38,Payments!$C$9:$C$38,$A29)</f>
        <v>22000</v>
      </c>
      <c r="F29" s="41">
        <f>SUMIFS(Payments!J$9:J$38,Payments!$C$9:$C$38,$A29)</f>
        <v>3800</v>
      </c>
      <c r="G29" s="41">
        <f>SUMIFS(Payments!K$9:K$38,Payments!$C$9:$C$38,$A29)</f>
        <v>0</v>
      </c>
      <c r="H29" s="41">
        <f>SUMIFS(Payments!L$9:L$38,Payments!$C$9:$C$38,$A29)</f>
        <v>0</v>
      </c>
      <c r="I29" s="41">
        <f>SUMIFS(Payments!M$9:M$38,Payments!$C$9:$C$38,$A29)</f>
        <v>22000</v>
      </c>
      <c r="J29" s="41">
        <f>SUMIFS(Payments!N$9:N$38,Payments!$C$9:$C$38,$A29)</f>
        <v>3800</v>
      </c>
      <c r="K29" s="41">
        <f>SUMIFS(Payments!O$9:O$38,Payments!$C$9:$C$38,$A29)</f>
        <v>0</v>
      </c>
      <c r="L29" s="41">
        <f>SUMIFS(Payments!P$9:P$38,Payments!$C$9:$C$38,$A29)</f>
        <v>0</v>
      </c>
      <c r="M29" s="41">
        <f>SUMIFS(Payments!Q$9:Q$38,Payments!$C$9:$C$38,$A29)</f>
        <v>0</v>
      </c>
      <c r="N29" s="41">
        <f>SUMIFS(Payments!R$9:R$38,Payments!$C$9:$C$38,$A29)</f>
        <v>25800</v>
      </c>
      <c r="O29" s="41">
        <f>SUMIFS(Payments!S$9:S$38,Payments!$C$9:$C$38,$A29)</f>
        <v>0</v>
      </c>
      <c r="P29" s="41">
        <f>SUMIFS(Payments!T$9:T$38,Payments!$C$9:$C$38,$A29)</f>
        <v>0</v>
      </c>
      <c r="Q29" s="36">
        <f>SUM(D29:P29)</f>
        <v>77400</v>
      </c>
    </row>
    <row r="30" spans="1:17">
      <c r="A30" s="8" t="s">
        <v>4</v>
      </c>
      <c r="D30" s="41">
        <f>SUMIFS(Payments!H$9:H$38,Payments!$C$9:$C$38,$A30)</f>
        <v>18000</v>
      </c>
      <c r="E30" s="41">
        <f>SUMIFS(Payments!I$9:I$38,Payments!$C$9:$C$38,$A30)</f>
        <v>0</v>
      </c>
      <c r="F30" s="41">
        <f>SUMIFS(Payments!J$9:J$38,Payments!$C$9:$C$38,$A30)</f>
        <v>0</v>
      </c>
      <c r="G30" s="41">
        <f>SUMIFS(Payments!K$9:K$38,Payments!$C$9:$C$38,$A30)</f>
        <v>0</v>
      </c>
      <c r="H30" s="41">
        <f>SUMIFS(Payments!L$9:L$38,Payments!$C$9:$C$38,$A30)</f>
        <v>18000</v>
      </c>
      <c r="I30" s="41">
        <f>SUMIFS(Payments!M$9:M$38,Payments!$C$9:$C$38,$A30)</f>
        <v>48000</v>
      </c>
      <c r="J30" s="41">
        <f>SUMIFS(Payments!N$9:N$38,Payments!$C$9:$C$38,$A30)</f>
        <v>0</v>
      </c>
      <c r="K30" s="41">
        <f>SUMIFS(Payments!O$9:O$38,Payments!$C$9:$C$38,$A30)</f>
        <v>0</v>
      </c>
      <c r="L30" s="41">
        <f>SUMIFS(Payments!P$9:P$38,Payments!$C$9:$C$38,$A30)</f>
        <v>0</v>
      </c>
      <c r="M30" s="41">
        <f>SUMIFS(Payments!Q$9:Q$38,Payments!$C$9:$C$38,$A30)</f>
        <v>18000</v>
      </c>
      <c r="N30" s="41">
        <f>SUMIFS(Payments!R$9:R$38,Payments!$C$9:$C$38,$A30)</f>
        <v>0</v>
      </c>
      <c r="O30" s="41">
        <f>SUMIFS(Payments!S$9:S$38,Payments!$C$9:$C$38,$A30)</f>
        <v>0</v>
      </c>
      <c r="P30" s="41">
        <f>SUMIFS(Payments!T$9:T$38,Payments!$C$9:$C$38,$A30)</f>
        <v>0</v>
      </c>
      <c r="Q30" s="36">
        <f>SUM(D30:P30)</f>
        <v>102000</v>
      </c>
    </row>
    <row r="31" spans="1:17">
      <c r="A31" s="8" t="s">
        <v>5</v>
      </c>
      <c r="D31" s="41">
        <f>SUMIFS(Payments!H$9:H$38,Payments!$C$9:$C$38,$A31)</f>
        <v>0</v>
      </c>
      <c r="E31" s="41">
        <f>SUMIFS(Payments!I$9:I$38,Payments!$C$9:$C$38,$A31)</f>
        <v>0</v>
      </c>
      <c r="F31" s="41">
        <f>SUMIFS(Payments!J$9:J$38,Payments!$C$9:$C$38,$A31)</f>
        <v>0</v>
      </c>
      <c r="G31" s="41">
        <f>SUMIFS(Payments!K$9:K$38,Payments!$C$9:$C$38,$A31)</f>
        <v>0</v>
      </c>
      <c r="H31" s="41">
        <f>SUMIFS(Payments!L$9:L$38,Payments!$C$9:$C$38,$A31)</f>
        <v>0</v>
      </c>
      <c r="I31" s="41">
        <f>SUMIFS(Payments!M$9:M$38,Payments!$C$9:$C$38,$A31)</f>
        <v>0</v>
      </c>
      <c r="J31" s="41">
        <f>SUMIFS(Payments!N$9:N$38,Payments!$C$9:$C$38,$A31)</f>
        <v>35000</v>
      </c>
      <c r="K31" s="41">
        <f>SUMIFS(Payments!O$9:O$38,Payments!$C$9:$C$38,$A31)</f>
        <v>0</v>
      </c>
      <c r="L31" s="41">
        <f>SUMIFS(Payments!P$9:P$38,Payments!$C$9:$C$38,$A31)</f>
        <v>0</v>
      </c>
      <c r="M31" s="41">
        <f>SUMIFS(Payments!Q$9:Q$38,Payments!$C$9:$C$38,$A31)</f>
        <v>0</v>
      </c>
      <c r="N31" s="41">
        <f>SUMIFS(Payments!R$9:R$38,Payments!$C$9:$C$38,$A31)</f>
        <v>0</v>
      </c>
      <c r="O31" s="41">
        <f>SUMIFS(Payments!S$9:S$38,Payments!$C$9:$C$38,$A31)</f>
        <v>0</v>
      </c>
      <c r="P31" s="41">
        <f>SUMIFS(Payments!T$9:T$38,Payments!$C$9:$C$38,$A31)</f>
        <v>0</v>
      </c>
      <c r="Q31" s="36">
        <f>SUM(D31:P31)</f>
        <v>35000</v>
      </c>
    </row>
    <row r="32" spans="1:17">
      <c r="A32" s="8" t="s">
        <v>6</v>
      </c>
      <c r="D32" s="41">
        <f>SUMIFS(Payments!H$9:H$38,Payments!$C$9:$C$38,$A32)</f>
        <v>0</v>
      </c>
      <c r="E32" s="41">
        <f>SUMIFS(Payments!I$9:I$38,Payments!$C$9:$C$38,$A32)</f>
        <v>0</v>
      </c>
      <c r="F32" s="41">
        <f>SUMIFS(Payments!J$9:J$38,Payments!$C$9:$C$38,$A32)</f>
        <v>0</v>
      </c>
      <c r="G32" s="41">
        <f>SUMIFS(Payments!K$9:K$38,Payments!$C$9:$C$38,$A32)</f>
        <v>0</v>
      </c>
      <c r="H32" s="41">
        <f>SUMIFS(Payments!L$9:L$38,Payments!$C$9:$C$38,$A32)</f>
        <v>9500</v>
      </c>
      <c r="I32" s="41">
        <f>SUMIFS(Payments!M$9:M$38,Payments!$C$9:$C$38,$A32)</f>
        <v>0</v>
      </c>
      <c r="J32" s="41">
        <f>SUMIFS(Payments!N$9:N$38,Payments!$C$9:$C$38,$A32)</f>
        <v>0</v>
      </c>
      <c r="K32" s="41">
        <f>SUMIFS(Payments!O$9:O$38,Payments!$C$9:$C$38,$A32)</f>
        <v>0</v>
      </c>
      <c r="L32" s="41">
        <f>SUMIFS(Payments!P$9:P$38,Payments!$C$9:$C$38,$A32)</f>
        <v>9500</v>
      </c>
      <c r="M32" s="41">
        <f>SUMIFS(Payments!Q$9:Q$38,Payments!$C$9:$C$38,$A32)</f>
        <v>0</v>
      </c>
      <c r="N32" s="41">
        <f>SUMIFS(Payments!R$9:R$38,Payments!$C$9:$C$38,$A32)</f>
        <v>0</v>
      </c>
      <c r="O32" s="41">
        <f>SUMIFS(Payments!S$9:S$38,Payments!$C$9:$C$38,$A32)</f>
        <v>0</v>
      </c>
      <c r="P32" s="41">
        <f>SUMIFS(Payments!T$9:T$38,Payments!$C$9:$C$38,$A32)</f>
        <v>9500</v>
      </c>
      <c r="Q32" s="36">
        <f>SUM(D32:P32)</f>
        <v>28500</v>
      </c>
    </row>
    <row r="33" spans="1:17">
      <c r="A33" s="8" t="s">
        <v>7</v>
      </c>
      <c r="D33" s="41">
        <f>SUMIFS(Payments!H$9:H$38,Payments!$C$9:$C$38,$A33)</f>
        <v>15000</v>
      </c>
      <c r="E33" s="41">
        <f>SUMIFS(Payments!I$9:I$38,Payments!$C$9:$C$38,$A33)</f>
        <v>0</v>
      </c>
      <c r="F33" s="41">
        <f>SUMIFS(Payments!J$9:J$38,Payments!$C$9:$C$38,$A33)</f>
        <v>0</v>
      </c>
      <c r="G33" s="41">
        <f>SUMIFS(Payments!K$9:K$38,Payments!$C$9:$C$38,$A33)</f>
        <v>0</v>
      </c>
      <c r="H33" s="41">
        <f>SUMIFS(Payments!L$9:L$38,Payments!$C$9:$C$38,$A33)</f>
        <v>0</v>
      </c>
      <c r="I33" s="41">
        <f>SUMIFS(Payments!M$9:M$38,Payments!$C$9:$C$38,$A33)</f>
        <v>15000</v>
      </c>
      <c r="J33" s="41">
        <f>SUMIFS(Payments!N$9:N$38,Payments!$C$9:$C$38,$A33)</f>
        <v>0</v>
      </c>
      <c r="K33" s="41">
        <f>SUMIFS(Payments!O$9:O$38,Payments!$C$9:$C$38,$A33)</f>
        <v>0</v>
      </c>
      <c r="L33" s="41">
        <f>SUMIFS(Payments!P$9:P$38,Payments!$C$9:$C$38,$A33)</f>
        <v>0</v>
      </c>
      <c r="M33" s="41">
        <f>SUMIFS(Payments!Q$9:Q$38,Payments!$C$9:$C$38,$A33)</f>
        <v>15000</v>
      </c>
      <c r="N33" s="41">
        <f>SUMIFS(Payments!R$9:R$38,Payments!$C$9:$C$38,$A33)</f>
        <v>0</v>
      </c>
      <c r="O33" s="41">
        <f>SUMIFS(Payments!S$9:S$38,Payments!$C$9:$C$38,$A33)</f>
        <v>0</v>
      </c>
      <c r="P33" s="41">
        <f>SUMIFS(Payments!T$9:T$38,Payments!$C$9:$C$38,$A33)</f>
        <v>0</v>
      </c>
      <c r="Q33" s="36">
        <f>SUM(D33:P33)</f>
        <v>45000</v>
      </c>
    </row>
    <row r="34" spans="1:17">
      <c r="A34" s="8" t="s">
        <v>8</v>
      </c>
      <c r="D34" s="41">
        <f>SUMIFS(Payments!H$9:H$38,Payments!$C$9:$C$38,$A34)</f>
        <v>0</v>
      </c>
      <c r="E34" s="41">
        <f>SUMIFS(Payments!I$9:I$38,Payments!$C$9:$C$38,$A34)</f>
        <v>0</v>
      </c>
      <c r="F34" s="41">
        <f>SUMIFS(Payments!J$9:J$38,Payments!$C$9:$C$38,$A34)</f>
        <v>12000</v>
      </c>
      <c r="G34" s="41">
        <f>SUMIFS(Payments!K$9:K$38,Payments!$C$9:$C$38,$A34)</f>
        <v>0</v>
      </c>
      <c r="H34" s="41">
        <f>SUMIFS(Payments!L$9:L$38,Payments!$C$9:$C$38,$A34)</f>
        <v>0</v>
      </c>
      <c r="I34" s="41">
        <f>SUMIFS(Payments!M$9:M$38,Payments!$C$9:$C$38,$A34)</f>
        <v>0</v>
      </c>
      <c r="J34" s="41">
        <f>SUMIFS(Payments!N$9:N$38,Payments!$C$9:$C$38,$A34)</f>
        <v>0</v>
      </c>
      <c r="K34" s="41">
        <f>SUMIFS(Payments!O$9:O$38,Payments!$C$9:$C$38,$A34)</f>
        <v>0</v>
      </c>
      <c r="L34" s="41">
        <f>SUMIFS(Payments!P$9:P$38,Payments!$C$9:$C$38,$A34)</f>
        <v>0</v>
      </c>
      <c r="M34" s="41">
        <f>SUMIFS(Payments!Q$9:Q$38,Payments!$C$9:$C$38,$A34)</f>
        <v>0</v>
      </c>
      <c r="N34" s="41">
        <f>SUMIFS(Payments!R$9:R$38,Payments!$C$9:$C$38,$A34)</f>
        <v>0</v>
      </c>
      <c r="O34" s="41">
        <f>SUMIFS(Payments!S$9:S$38,Payments!$C$9:$C$38,$A34)</f>
        <v>0</v>
      </c>
      <c r="P34" s="41">
        <f>SUMIFS(Payments!T$9:T$38,Payments!$C$9:$C$38,$A34)</f>
        <v>0</v>
      </c>
      <c r="Q34" s="36">
        <f>SUM(D34:P34)</f>
        <v>12000</v>
      </c>
    </row>
    <row r="35" spans="1:17">
      <c r="A35" s="8" t="s">
        <v>9</v>
      </c>
      <c r="D35" s="41">
        <f>SUMIFS(Payments!H$9:H$38,Payments!$C$9:$C$38,$A35)</f>
        <v>26000</v>
      </c>
      <c r="E35" s="41">
        <f>SUMIFS(Payments!I$9:I$38,Payments!$C$9:$C$38,$A35)</f>
        <v>0</v>
      </c>
      <c r="F35" s="41">
        <f>SUMIFS(Payments!J$9:J$38,Payments!$C$9:$C$38,$A35)</f>
        <v>0</v>
      </c>
      <c r="G35" s="41">
        <f>SUMIFS(Payments!K$9:K$38,Payments!$C$9:$C$38,$A35)</f>
        <v>0</v>
      </c>
      <c r="H35" s="41">
        <f>SUMIFS(Payments!L$9:L$38,Payments!$C$9:$C$38,$A35)</f>
        <v>26000</v>
      </c>
      <c r="I35" s="41">
        <f>SUMIFS(Payments!M$9:M$38,Payments!$C$9:$C$38,$A35)</f>
        <v>0</v>
      </c>
      <c r="J35" s="41">
        <f>SUMIFS(Payments!N$9:N$38,Payments!$C$9:$C$38,$A35)</f>
        <v>0</v>
      </c>
      <c r="K35" s="41">
        <f>SUMIFS(Payments!O$9:O$38,Payments!$C$9:$C$38,$A35)</f>
        <v>0</v>
      </c>
      <c r="L35" s="41">
        <f>SUMIFS(Payments!P$9:P$38,Payments!$C$9:$C$38,$A35)</f>
        <v>26000</v>
      </c>
      <c r="M35" s="41">
        <f>SUMIFS(Payments!Q$9:Q$38,Payments!$C$9:$C$38,$A35)</f>
        <v>0</v>
      </c>
      <c r="N35" s="41">
        <f>SUMIFS(Payments!R$9:R$38,Payments!$C$9:$C$38,$A35)</f>
        <v>0</v>
      </c>
      <c r="O35" s="41">
        <f>SUMIFS(Payments!S$9:S$38,Payments!$C$9:$C$38,$A35)</f>
        <v>0</v>
      </c>
      <c r="P35" s="41">
        <f>SUMIFS(Payments!T$9:T$38,Payments!$C$9:$C$38,$A35)</f>
        <v>0</v>
      </c>
      <c r="Q35" s="36">
        <f>SUM(D35:P35)</f>
        <v>78000</v>
      </c>
    </row>
    <row r="36" spans="1:17">
      <c r="A36" s="8" t="s">
        <v>10</v>
      </c>
      <c r="D36" s="41">
        <f>SUMIFS(Payments!H$9:H$38,Payments!$C$9:$C$38,$A36)</f>
        <v>0</v>
      </c>
      <c r="E36" s="41">
        <f>SUMIFS(Payments!I$9:I$38,Payments!$C$9:$C$38,$A36)</f>
        <v>0</v>
      </c>
      <c r="F36" s="41">
        <f>SUMIFS(Payments!J$9:J$38,Payments!$C$9:$C$38,$A36)</f>
        <v>0</v>
      </c>
      <c r="G36" s="41">
        <f>SUMIFS(Payments!K$9:K$38,Payments!$C$9:$C$38,$A36)</f>
        <v>95000</v>
      </c>
      <c r="H36" s="41">
        <f>SUMIFS(Payments!L$9:L$38,Payments!$C$9:$C$38,$A36)</f>
        <v>0</v>
      </c>
      <c r="I36" s="41">
        <f>SUMIFS(Payments!M$9:M$38,Payments!$C$9:$C$38,$A36)</f>
        <v>0</v>
      </c>
      <c r="J36" s="41">
        <f>SUMIFS(Payments!N$9:N$38,Payments!$C$9:$C$38,$A36)</f>
        <v>0</v>
      </c>
      <c r="K36" s="41">
        <f>SUMIFS(Payments!O$9:O$38,Payments!$C$9:$C$38,$A36)</f>
        <v>0</v>
      </c>
      <c r="L36" s="41">
        <f>SUMIFS(Payments!P$9:P$38,Payments!$C$9:$C$38,$A36)</f>
        <v>0</v>
      </c>
      <c r="M36" s="41">
        <f>SUMIFS(Payments!Q$9:Q$38,Payments!$C$9:$C$38,$A36)</f>
        <v>0</v>
      </c>
      <c r="N36" s="41">
        <f>SUMIFS(Payments!R$9:R$38,Payments!$C$9:$C$38,$A36)</f>
        <v>0</v>
      </c>
      <c r="O36" s="41">
        <f>SUMIFS(Payments!S$9:S$38,Payments!$C$9:$C$38,$A36)</f>
        <v>0</v>
      </c>
      <c r="P36" s="41">
        <f>SUMIFS(Payments!T$9:T$38,Payments!$C$9:$C$38,$A36)</f>
        <v>0</v>
      </c>
      <c r="Q36" s="36">
        <f>SUM(D36:P36)</f>
        <v>95000</v>
      </c>
    </row>
    <row r="37" spans="1:17">
      <c r="A37" s="8" t="s">
        <v>11</v>
      </c>
      <c r="D37" s="41">
        <f>SUMIFS(Payments!H$9:H$38,Payments!$C$9:$C$38,$A37)</f>
        <v>0</v>
      </c>
      <c r="E37" s="41">
        <f>SUMIFS(Payments!I$9:I$38,Payments!$C$9:$C$38,$A37)</f>
        <v>0</v>
      </c>
      <c r="F37" s="41">
        <f>SUMIFS(Payments!J$9:J$38,Payments!$C$9:$C$38,$A37)</f>
        <v>0</v>
      </c>
      <c r="G37" s="41">
        <f>SUMIFS(Payments!K$9:K$38,Payments!$C$9:$C$38,$A37)</f>
        <v>0</v>
      </c>
      <c r="H37" s="41">
        <f>SUMIFS(Payments!L$9:L$38,Payments!$C$9:$C$38,$A37)</f>
        <v>0</v>
      </c>
      <c r="I37" s="41">
        <f>SUMIFS(Payments!M$9:M$38,Payments!$C$9:$C$38,$A37)</f>
        <v>0</v>
      </c>
      <c r="J37" s="41">
        <f>SUMIFS(Payments!N$9:N$38,Payments!$C$9:$C$38,$A37)</f>
        <v>120000</v>
      </c>
      <c r="K37" s="41">
        <f>SUMIFS(Payments!O$9:O$38,Payments!$C$9:$C$38,$A37)</f>
        <v>0</v>
      </c>
      <c r="L37" s="41">
        <f>SUMIFS(Payments!P$9:P$38,Payments!$C$9:$C$38,$A37)</f>
        <v>0</v>
      </c>
      <c r="M37" s="41">
        <f>SUMIFS(Payments!Q$9:Q$38,Payments!$C$9:$C$38,$A37)</f>
        <v>0</v>
      </c>
      <c r="N37" s="41">
        <f>SUMIFS(Payments!R$9:R$38,Payments!$C$9:$C$38,$A37)</f>
        <v>0</v>
      </c>
      <c r="O37" s="41">
        <f>SUMIFS(Payments!S$9:S$38,Payments!$C$9:$C$38,$A37)</f>
        <v>0</v>
      </c>
      <c r="P37" s="41">
        <f>SUMIFS(Payments!T$9:T$38,Payments!$C$9:$C$38,$A37)</f>
        <v>0</v>
      </c>
      <c r="Q37" s="36">
        <f>SUM(D37:P37)</f>
        <v>120000</v>
      </c>
    </row>
    <row r="38" spans="1:17">
      <c r="A38" s="8" t="s">
        <v>12</v>
      </c>
      <c r="D38" s="41">
        <f>SUMIFS(Payments!H$9:H$38,Payments!$C$9:$C$38,$A38)</f>
        <v>2500</v>
      </c>
      <c r="E38" s="41">
        <f>SUMIFS(Payments!I$9:I$38,Payments!$C$9:$C$38,$A38)</f>
        <v>2500</v>
      </c>
      <c r="F38" s="41">
        <f>SUMIFS(Payments!J$9:J$38,Payments!$C$9:$C$38,$A38)</f>
        <v>6700</v>
      </c>
      <c r="G38" s="41">
        <f>SUMIFS(Payments!K$9:K$38,Payments!$C$9:$C$38,$A38)</f>
        <v>2500</v>
      </c>
      <c r="H38" s="41">
        <f>SUMIFS(Payments!L$9:L$38,Payments!$C$9:$C$38,$A38)</f>
        <v>2500</v>
      </c>
      <c r="I38" s="41">
        <f>SUMIFS(Payments!M$9:M$38,Payments!$C$9:$C$38,$A38)</f>
        <v>2500</v>
      </c>
      <c r="J38" s="41">
        <f>SUMIFS(Payments!N$9:N$38,Payments!$C$9:$C$38,$A38)</f>
        <v>6700</v>
      </c>
      <c r="K38" s="41">
        <f>SUMIFS(Payments!O$9:O$38,Payments!$C$9:$C$38,$A38)</f>
        <v>2500</v>
      </c>
      <c r="L38" s="41">
        <f>SUMIFS(Payments!P$9:P$38,Payments!$C$9:$C$38,$A38)</f>
        <v>2500</v>
      </c>
      <c r="M38" s="41">
        <f>SUMIFS(Payments!Q$9:Q$38,Payments!$C$9:$C$38,$A38)</f>
        <v>2500</v>
      </c>
      <c r="N38" s="41">
        <f>SUMIFS(Payments!R$9:R$38,Payments!$C$9:$C$38,$A38)</f>
        <v>2500</v>
      </c>
      <c r="O38" s="41">
        <f>SUMIFS(Payments!S$9:S$38,Payments!$C$9:$C$38,$A38)</f>
        <v>6700</v>
      </c>
      <c r="P38" s="41">
        <f>SUMIFS(Payments!T$9:T$38,Payments!$C$9:$C$38,$A38)</f>
        <v>2500</v>
      </c>
      <c r="Q38" s="36">
        <f>SUM(D38:P38)</f>
        <v>45100</v>
      </c>
    </row>
    <row r="39" spans="1:17">
      <c r="A39" s="8" t="s">
        <v>163</v>
      </c>
      <c r="D39" s="41">
        <f>'Opening Items'!D14</f>
        <v>122000</v>
      </c>
      <c r="E39" s="41">
        <f>'Opening Items'!E14</f>
        <v>122000</v>
      </c>
      <c r="F39" s="41">
        <f>'Opening Items'!F14</f>
        <v>58000</v>
      </c>
      <c r="G39" s="41">
        <f>'Opening Items'!G14</f>
        <v>58000</v>
      </c>
      <c r="H39" s="41">
        <f>'Opening Items'!H14</f>
        <v>0</v>
      </c>
      <c r="I39" s="41">
        <f>'Opening Items'!I14</f>
        <v>0</v>
      </c>
      <c r="J39" s="41">
        <f>'Opening Items'!J14</f>
        <v>0</v>
      </c>
      <c r="K39" s="41">
        <f>'Opening Items'!K14</f>
        <v>0</v>
      </c>
      <c r="L39" s="41">
        <f>'Opening Items'!L14</f>
        <v>0</v>
      </c>
      <c r="M39" s="41">
        <f>'Opening Items'!M14</f>
        <v>0</v>
      </c>
      <c r="N39" s="41">
        <f>'Opening Items'!N14</f>
        <v>0</v>
      </c>
      <c r="O39" s="41">
        <f>'Opening Items'!O14</f>
        <v>0</v>
      </c>
      <c r="P39" s="41">
        <f>'Opening Items'!P14</f>
        <v>0</v>
      </c>
      <c r="Q39" s="36">
        <f>SUM(D39:P39)</f>
        <v>360000</v>
      </c>
    </row>
    <row r="40" spans="1:17">
      <c r="A40" s="29" t="s">
        <v>164</v>
      </c>
      <c r="B40" s="29"/>
      <c r="C40" s="29"/>
      <c r="D40" s="36">
        <f>SUM(D22:D39)</f>
        <v>408000</v>
      </c>
      <c r="E40" s="36">
        <f>SUM(E22:E39)</f>
        <v>241500</v>
      </c>
      <c r="F40" s="36">
        <f>SUM(F22:F39)</f>
        <v>144500</v>
      </c>
      <c r="G40" s="36">
        <f>SUM(G22:G39)</f>
        <v>504820</v>
      </c>
      <c r="H40" s="36">
        <f>SUM(H22:H39)</f>
        <v>192741.6</v>
      </c>
      <c r="I40" s="36">
        <f>SUM(I22:I39)</f>
        <v>305352.808</v>
      </c>
      <c r="J40" s="36">
        <f>SUM(J22:J39)</f>
        <v>288967.07204</v>
      </c>
      <c r="K40" s="36">
        <f>SUM(K22:K39)</f>
        <v>411584.4074001999</v>
      </c>
      <c r="L40" s="36">
        <f>SUM(L22:L39)</f>
        <v>177204.8294372009</v>
      </c>
      <c r="M40" s="36">
        <f>SUM(M22:M39)</f>
        <v>255828.3535843869</v>
      </c>
      <c r="N40" s="36">
        <f>SUM(N22:N39)</f>
        <v>154254.9953523088</v>
      </c>
      <c r="O40" s="36">
        <f>SUM(O22:O39)</f>
        <v>133284.7703290704</v>
      </c>
      <c r="P40" s="36">
        <f>SUM(P22:P39)</f>
        <v>424217.6941807157</v>
      </c>
      <c r="Q40" s="36">
        <f>SUM(D40:P40)</f>
        <v>3642256.530323883</v>
      </c>
    </row>
    <row r="42" spans="1:17">
      <c r="A42" s="44" t="s">
        <v>165</v>
      </c>
      <c r="D42" s="45">
        <f>D19-D40</f>
        <v>-102000</v>
      </c>
      <c r="E42" s="45">
        <f>E19-E40</f>
        <v>64900</v>
      </c>
      <c r="F42" s="45">
        <f>F19-F40</f>
        <v>162302</v>
      </c>
      <c r="G42" s="45">
        <f>G19-G40</f>
        <v>-197613.99</v>
      </c>
      <c r="H42" s="45">
        <f>H19-H40</f>
        <v>115230.44005</v>
      </c>
      <c r="I42" s="45">
        <f>I19-I40</f>
        <v>3184.092250249989</v>
      </c>
      <c r="J42" s="45">
        <f>J19-J40</f>
        <v>19377.51271150121</v>
      </c>
      <c r="K42" s="45">
        <f>K19-K40</f>
        <v>-102218.0997249412</v>
      </c>
      <c r="L42" s="45">
        <f>L19-L40</f>
        <v>158188.3097764341</v>
      </c>
      <c r="M42" s="45">
        <f>M19-M40</f>
        <v>56476.75132531615</v>
      </c>
      <c r="N42" s="45">
        <f>N19-N40</f>
        <v>159381.6350819428</v>
      </c>
      <c r="O42" s="45">
        <f>O19-O40</f>
        <v>172838.8765957445</v>
      </c>
      <c r="P42" s="45">
        <f>P19-P40</f>
        <v>-116563.4290212768</v>
      </c>
      <c r="Q42" s="45">
        <f>SUM(D42:P42)</f>
        <v>393484.0990449706</v>
      </c>
    </row>
    <row r="43" spans="1:17">
      <c r="A43" s="32" t="s">
        <v>166</v>
      </c>
      <c r="B43" s="32"/>
      <c r="C43" s="32"/>
      <c r="D43" s="43">
        <f>D8+D42</f>
        <v>348000</v>
      </c>
      <c r="E43" s="43">
        <f>E8+E42</f>
        <v>412900</v>
      </c>
      <c r="F43" s="43">
        <f>F8+F42</f>
        <v>575202</v>
      </c>
      <c r="G43" s="43">
        <f>G8+G42</f>
        <v>377588.01</v>
      </c>
      <c r="H43" s="43">
        <f>H8+H42</f>
        <v>492818.4500499999</v>
      </c>
      <c r="I43" s="43">
        <f>I8+I42</f>
        <v>496002.5423002499</v>
      </c>
      <c r="J43" s="43">
        <f>J8+J42</f>
        <v>515380.0550117511</v>
      </c>
      <c r="K43" s="43">
        <f>K8+K42</f>
        <v>413161.9552868099</v>
      </c>
      <c r="L43" s="43">
        <f>L8+L42</f>
        <v>571350.265063244</v>
      </c>
      <c r="M43" s="43">
        <f>M8+M42</f>
        <v>627827.0163885602</v>
      </c>
      <c r="N43" s="43">
        <f>N8+N42</f>
        <v>787208.651470503</v>
      </c>
      <c r="O43" s="43">
        <f>O8+O42</f>
        <v>960047.5280662475</v>
      </c>
      <c r="P43" s="43">
        <f>P8+P42</f>
        <v>843484.0990449707</v>
      </c>
      <c r="Q43" s="43">
        <f>P43</f>
        <v>843484.0990449707</v>
      </c>
    </row>
    <row r="45" spans="1:17">
      <c r="A45" s="8" t="s">
        <v>35</v>
      </c>
      <c r="D45" s="41">
        <f>MinBuffer</f>
        <v>400000</v>
      </c>
      <c r="E45" s="41">
        <f>MinBuffer</f>
        <v>400000</v>
      </c>
      <c r="F45" s="41">
        <f>MinBuffer</f>
        <v>400000</v>
      </c>
      <c r="G45" s="41">
        <f>MinBuffer</f>
        <v>400000</v>
      </c>
      <c r="H45" s="41">
        <f>MinBuffer</f>
        <v>400000</v>
      </c>
      <c r="I45" s="41">
        <f>MinBuffer</f>
        <v>400000</v>
      </c>
      <c r="J45" s="41">
        <f>MinBuffer</f>
        <v>400000</v>
      </c>
      <c r="K45" s="41">
        <f>MinBuffer</f>
        <v>400000</v>
      </c>
      <c r="L45" s="41">
        <f>MinBuffer</f>
        <v>400000</v>
      </c>
      <c r="M45" s="41">
        <f>MinBuffer</f>
        <v>400000</v>
      </c>
      <c r="N45" s="41">
        <f>MinBuffer</f>
        <v>400000</v>
      </c>
      <c r="O45" s="41">
        <f>MinBuffer</f>
        <v>400000</v>
      </c>
      <c r="P45" s="41">
        <f>MinBuffer</f>
        <v>400000</v>
      </c>
      <c r="Q45" s="41">
        <f>MinBuffer</f>
        <v>400000</v>
      </c>
    </row>
    <row r="46" spans="1:17">
      <c r="A46" s="20" t="s">
        <v>167</v>
      </c>
      <c r="D46" s="46">
        <f>D43-D45</f>
        <v>-52000</v>
      </c>
      <c r="E46" s="46">
        <f>E43-E45</f>
        <v>12900</v>
      </c>
      <c r="F46" s="46">
        <f>F43-F45</f>
        <v>175202</v>
      </c>
      <c r="G46" s="46">
        <f>G43-G45</f>
        <v>-22411.99000000005</v>
      </c>
      <c r="H46" s="46">
        <f>H43-H45</f>
        <v>92818.45004999993</v>
      </c>
      <c r="I46" s="46">
        <f>I43-I45</f>
        <v>96002.54230024992</v>
      </c>
      <c r="J46" s="46">
        <f>J43-J45</f>
        <v>115380.0550117511</v>
      </c>
      <c r="K46" s="46">
        <f>K43-K45</f>
        <v>13161.95528680994</v>
      </c>
      <c r="L46" s="46">
        <f>L43-L45</f>
        <v>171350.265063244</v>
      </c>
      <c r="M46" s="46">
        <f>M43-M45</f>
        <v>227827.0163885602</v>
      </c>
      <c r="N46" s="46">
        <f>N43-N45</f>
        <v>387208.651470503</v>
      </c>
      <c r="O46" s="46">
        <f>O43-O45</f>
        <v>560047.5280662475</v>
      </c>
      <c r="P46" s="46">
        <f>P43-P45</f>
        <v>443484.0990449707</v>
      </c>
      <c r="Q46" s="46">
        <f>Q43-Q45</f>
        <v>443484.0990449707</v>
      </c>
    </row>
    <row r="47" spans="1:17" ht="18" customHeight="1">
      <c r="A47" s="20" t="s">
        <v>168</v>
      </c>
      <c r="D47" s="47" t="str">
        <f>IF(D43&lt;0,"OVERDRAWN",IF(D43&lt;D45,"BELOW BUFFER","OK"))</f>
        <v>BELOW BUFFER</v>
      </c>
      <c r="E47" s="47" t="str">
        <f>IF(E43&lt;0,"OVERDRAWN",IF(E43&lt;E45,"BELOW BUFFER","OK"))</f>
        <v>OK</v>
      </c>
      <c r="F47" s="47" t="str">
        <f>IF(F43&lt;0,"OVERDRAWN",IF(F43&lt;F45,"BELOW BUFFER","OK"))</f>
        <v>OK</v>
      </c>
      <c r="G47" s="47" t="str">
        <f>IF(G43&lt;0,"OVERDRAWN",IF(G43&lt;G45,"BELOW BUFFER","OK"))</f>
        <v>BELOW BUFFER</v>
      </c>
      <c r="H47" s="47" t="str">
        <f>IF(H43&lt;0,"OVERDRAWN",IF(H43&lt;H45,"BELOW BUFFER","OK"))</f>
        <v>OK</v>
      </c>
      <c r="I47" s="47" t="str">
        <f>IF(I43&lt;0,"OVERDRAWN",IF(I43&lt;I45,"BELOW BUFFER","OK"))</f>
        <v>OK</v>
      </c>
      <c r="J47" s="47" t="str">
        <f>IF(J43&lt;0,"OVERDRAWN",IF(J43&lt;J45,"BELOW BUFFER","OK"))</f>
        <v>OK</v>
      </c>
      <c r="K47" s="47" t="str">
        <f>IF(K43&lt;0,"OVERDRAWN",IF(K43&lt;K45,"BELOW BUFFER","OK"))</f>
        <v>OK</v>
      </c>
      <c r="L47" s="47" t="str">
        <f>IF(L43&lt;0,"OVERDRAWN",IF(L43&lt;L45,"BELOW BUFFER","OK"))</f>
        <v>OK</v>
      </c>
      <c r="M47" s="47" t="str">
        <f>IF(M43&lt;0,"OVERDRAWN",IF(M43&lt;M45,"BELOW BUFFER","OK"))</f>
        <v>OK</v>
      </c>
      <c r="N47" s="47" t="str">
        <f>IF(N43&lt;0,"OVERDRAWN",IF(N43&lt;N45,"BELOW BUFFER","OK"))</f>
        <v>OK</v>
      </c>
      <c r="O47" s="47" t="str">
        <f>IF(O43&lt;0,"OVERDRAWN",IF(O43&lt;O45,"BELOW BUFFER","OK"))</f>
        <v>OK</v>
      </c>
      <c r="P47" s="47" t="str">
        <f>IF(P43&lt;0,"OVERDRAWN",IF(P43&lt;P45,"BELOW BUFFER","OK"))</f>
        <v>OK</v>
      </c>
      <c r="Q47" s="47" t="str">
        <f>IF(COUNTIF(D47:P47,"OK")=13,"ALL OK","REVIEW")</f>
        <v>REVIEW</v>
      </c>
    </row>
    <row r="48" spans="1:17">
      <c r="A48" s="8" t="s">
        <v>169</v>
      </c>
      <c r="D48" s="48">
        <f>IF($Q$40&gt;0,ROUND(D43/($Q$40/13),1),0)</f>
        <v>1.2</v>
      </c>
      <c r="E48" s="48">
        <f>IF($Q$40&gt;0,ROUND(E43/($Q$40/13),1),0)</f>
        <v>1.5</v>
      </c>
      <c r="F48" s="48">
        <f>IF($Q$40&gt;0,ROUND(F43/($Q$40/13),1),0)</f>
        <v>2.1</v>
      </c>
      <c r="G48" s="48">
        <f>IF($Q$40&gt;0,ROUND(G43/($Q$40/13),1),0)</f>
        <v>1.3</v>
      </c>
      <c r="H48" s="48">
        <f>IF($Q$40&gt;0,ROUND(H43/($Q$40/13),1),0)</f>
        <v>1.8</v>
      </c>
      <c r="I48" s="48">
        <f>IF($Q$40&gt;0,ROUND(I43/($Q$40/13),1),0)</f>
        <v>1.8</v>
      </c>
      <c r="J48" s="48">
        <f>IF($Q$40&gt;0,ROUND(J43/($Q$40/13),1),0)</f>
        <v>1.8</v>
      </c>
      <c r="K48" s="48">
        <f>IF($Q$40&gt;0,ROUND(K43/($Q$40/13),1),0)</f>
        <v>1.5</v>
      </c>
      <c r="L48" s="48">
        <f>IF($Q$40&gt;0,ROUND(L43/($Q$40/13),1),0)</f>
        <v>2</v>
      </c>
      <c r="M48" s="48">
        <f>IF($Q$40&gt;0,ROUND(M43/($Q$40/13),1),0)</f>
        <v>2.2</v>
      </c>
      <c r="N48" s="48">
        <f>IF($Q$40&gt;0,ROUND(N43/($Q$40/13),1),0)</f>
        <v>2.8</v>
      </c>
      <c r="O48" s="48">
        <f>IF($Q$40&gt;0,ROUND(O43/($Q$40/13),1),0)</f>
        <v>3.4</v>
      </c>
      <c r="P48" s="48">
        <f>IF($Q$40&gt;0,ROUND(P43/($Q$40/13),1),0)</f>
        <v>3</v>
      </c>
    </row>
    <row r="49" spans="1:16">
      <c r="A49" s="8" t="s">
        <v>170</v>
      </c>
      <c r="D49" s="19">
        <f>SUM($D42:D42)</f>
        <v>-102000</v>
      </c>
      <c r="E49" s="19">
        <f>SUM($D42:E42)</f>
        <v>-37100</v>
      </c>
      <c r="F49" s="19">
        <f>SUM($D42:F42)</f>
        <v>125202</v>
      </c>
      <c r="G49" s="19">
        <f>SUM($D42:G42)</f>
        <v>-72411.99000000005</v>
      </c>
      <c r="H49" s="19">
        <f>SUM($D42:H42)</f>
        <v>42818.45004999993</v>
      </c>
      <c r="I49" s="19">
        <f>SUM($D42:I42)</f>
        <v>46002.54230024992</v>
      </c>
      <c r="J49" s="19">
        <f>SUM($D42:J42)</f>
        <v>65380.05501175113</v>
      </c>
      <c r="K49" s="19">
        <f>SUM($D42:K42)</f>
        <v>-36838.04471319006</v>
      </c>
      <c r="L49" s="19">
        <f>SUM($D42:L42)</f>
        <v>121350.265063244</v>
      </c>
      <c r="M49" s="19">
        <f>SUM($D42:M42)</f>
        <v>177827.0163885602</v>
      </c>
      <c r="N49" s="19">
        <f>SUM($D42:N42)</f>
        <v>337208.651470503</v>
      </c>
      <c r="O49" s="19">
        <f>SUM($D42:O42)</f>
        <v>510047.5280662474</v>
      </c>
      <c r="P49" s="19">
        <f>SUM($D42:P42)</f>
        <v>393484.0990449706</v>
      </c>
    </row>
    <row r="50" spans="1:16">
      <c r="A50" s="14" t="s">
        <v>171</v>
      </c>
      <c r="D50" s="49">
        <f>IF(D43&lt;D45,D$4,"")</f>
        <v>1</v>
      </c>
      <c r="E50" s="49">
        <f>IF(E43&lt;E45,E$4,"")</f>
        <v/>
      </c>
      <c r="F50" s="49">
        <f>IF(F43&lt;F45,F$4,"")</f>
        <v/>
      </c>
      <c r="G50" s="49">
        <f>IF(G43&lt;G45,G$4,"")</f>
        <v>4</v>
      </c>
      <c r="H50" s="49">
        <f>IF(H43&lt;H45,H$4,"")</f>
        <v/>
      </c>
      <c r="I50" s="49">
        <f>IF(I43&lt;I45,I$4,"")</f>
        <v/>
      </c>
      <c r="J50" s="49">
        <f>IF(J43&lt;J45,J$4,"")</f>
        <v/>
      </c>
      <c r="K50" s="49">
        <f>IF(K43&lt;K45,K$4,"")</f>
        <v/>
      </c>
      <c r="L50" s="49">
        <f>IF(L43&lt;L45,L$4,"")</f>
        <v/>
      </c>
      <c r="M50" s="49">
        <f>IF(M43&lt;M45,M$4,"")</f>
        <v/>
      </c>
      <c r="N50" s="49">
        <f>IF(N43&lt;N45,N$4,"")</f>
        <v/>
      </c>
      <c r="O50" s="49">
        <f>IF(O43&lt;O45,O$4,"")</f>
        <v/>
      </c>
      <c r="P50" s="49">
        <f>IF(P43&lt;P45,P$4,"")</f>
        <v/>
      </c>
    </row>
  </sheetData>
  <mergeCells count="4">
    <mergeCell ref="A1:Q1"/>
    <mergeCell ref="A2:Q2"/>
    <mergeCell ref="A10:Q10"/>
    <mergeCell ref="A21:Q21"/>
  </mergeCells>
  <conditionalFormatting sqref="D42:Q42">
    <cfRule type="cellIs" dxfId="0" priority="7" operator="lessThan">
      <formula>0</formula>
    </cfRule>
  </conditionalFormatting>
  <conditionalFormatting sqref="D43:Q43">
    <cfRule type="cellIs" dxfId="4" priority="8" operator="lessThan">
      <formula>D45</formula>
    </cfRule>
  </conditionalFormatting>
  <conditionalFormatting sqref="D46:Q46">
    <cfRule type="cellIs" dxfId="0" priority="6" operator="lessThan">
      <formula>0</formula>
    </cfRule>
  </conditionalFormatting>
  <conditionalFormatting sqref="D47:Q47">
    <cfRule type="cellIs" dxfId="1" priority="1" operator="equal">
      <formula>"OK"</formula>
    </cfRule>
    <cfRule type="cellIs" dxfId="1" priority="2" operator="equal">
      <formula>"ALL OK"</formula>
    </cfRule>
    <cfRule type="cellIs" dxfId="2" priority="3" operator="equal">
      <formula>"BELOW BUFFER"</formula>
    </cfRule>
    <cfRule type="cellIs" dxfId="2" priority="4" operator="equal">
      <formula>"REVIEW"</formula>
    </cfRule>
    <cfRule type="cellIs" dxfId="3" priority="5" operator="equal">
      <formula>"OVERDRAWN"</formula>
    </cfRule>
  </conditionalFormatting>
  <pageMargins left="0.7" right="0.7" top="0.75" bottom="0.75" header="0.3" footer="0.3"/>
  <pageSetup paperSize="9" fitToHeight="0" orientation="landscape"/>
  <headerFooter>
    <oddFooter>&amp;L&amp;"Arial,Regular"&amp;8OzaniX Partners  |  ozanixpartners.com&amp;R&amp;"Arial,Regular"&amp;8&amp;A  |  Page &amp;P of &amp;N</oddFooter>
  </headerFooter>
</worksheet>
</file>

<file path=xl/worksheets/sheet7.xml><?xml version="1.0" encoding="utf-8"?>
<worksheet xmlns="http://schemas.openxmlformats.org/spreadsheetml/2006/main" xmlns:r="http://schemas.openxmlformats.org/officeDocument/2006/relationships">
  <sheetPr>
    <tabColor rgb="FF2E8B57"/>
    <pageSetUpPr fitToPage="1"/>
  </sheetPr>
  <dimension ref="B1:M69"/>
  <sheetViews>
    <sheetView showGridLines="0" zoomScale="90" zoomScaleNormal="90" workbookViewId="0"/>
  </sheetViews>
  <sheetFormatPr defaultRowHeight="15"/>
  <cols>
    <col min="1" max="1" width="2.7109375" customWidth="1"/>
    <col min="2" max="13" width="16.28515625" customWidth="1"/>
    <col min="14" max="14" width="2.7109375" customWidth="1"/>
  </cols>
  <sheetData>
    <row r="1" spans="2:13" ht="34" customHeight="1">
      <c r="B1" s="12" t="str">
        <f>"Cash Dashboard: "&amp;ClinicName</f>
        <v>Cash Dashboard: Al Noor Medical Centre (example)</v>
      </c>
      <c r="C1" s="12"/>
      <c r="D1" s="12"/>
      <c r="E1" s="12"/>
      <c r="F1" s="12"/>
      <c r="G1" s="12"/>
      <c r="H1" s="12"/>
      <c r="I1" s="12"/>
      <c r="J1" s="12"/>
      <c r="K1" s="12"/>
      <c r="L1" s="12"/>
      <c r="M1" s="12"/>
    </row>
    <row r="2" spans="2:13" ht="20" customHeight="1">
      <c r="B2" s="13" t="str">
        <f>"Scenario: "&amp;Scenario&amp;"   |   13 weeks from "&amp;TEXT(StartDate,"dd mmm yyyy")&amp;"   |   All amounts in "&amp;Currency</f>
        <v>Scenario: Base   |   13 weeks from 05 Oct 2026   |   All amounts in AED</v>
      </c>
      <c r="C2" s="13"/>
      <c r="D2" s="13"/>
      <c r="E2" s="13"/>
      <c r="F2" s="13"/>
      <c r="G2" s="13"/>
      <c r="H2" s="13"/>
      <c r="I2" s="13"/>
      <c r="J2" s="13"/>
      <c r="K2" s="13"/>
      <c r="L2" s="13"/>
      <c r="M2" s="13"/>
    </row>
    <row r="4" spans="2:13" ht="18" customHeight="1">
      <c r="B4" s="50" t="s">
        <v>159</v>
      </c>
      <c r="C4" s="50"/>
      <c r="D4" s="50" t="s">
        <v>174</v>
      </c>
      <c r="E4" s="50"/>
      <c r="F4" s="50" t="s">
        <v>175</v>
      </c>
      <c r="G4" s="50"/>
      <c r="H4" s="50" t="s">
        <v>176</v>
      </c>
      <c r="I4" s="50"/>
      <c r="J4" s="50" t="s">
        <v>177</v>
      </c>
      <c r="K4" s="50"/>
      <c r="L4" s="50" t="s">
        <v>178</v>
      </c>
      <c r="M4" s="50"/>
    </row>
    <row r="5" spans="2:13" ht="34" customHeight="1">
      <c r="B5" s="51">
        <f>Forecast!D8</f>
        <v>450000</v>
      </c>
      <c r="C5" s="51"/>
      <c r="D5" s="51">
        <f>Forecast!P43</f>
        <v>843484.0990449707</v>
      </c>
      <c r="E5" s="51"/>
      <c r="F5" s="51">
        <f>Forecast!Q42</f>
        <v>393484.0990449706</v>
      </c>
      <c r="G5" s="51"/>
      <c r="H5" s="51">
        <f>MIN(Forecast!D43:P43)</f>
        <v>348000</v>
      </c>
      <c r="I5" s="51"/>
      <c r="J5" s="52">
        <f>INDEX(Forecast!D4:P4,1,MATCH(MIN(Forecast!D43:P43),Forecast!D43:P43,0))</f>
        <v>1</v>
      </c>
      <c r="K5" s="52"/>
      <c r="L5" s="53">
        <f>COUNTIF(Forecast!D47:P47,"BELOW BUFFER")+COUNTIF(Forecast!D47:P47,"OVERDRAWN")</f>
        <v>2</v>
      </c>
      <c r="M5" s="53"/>
    </row>
    <row r="7" spans="2:13" ht="18" customHeight="1">
      <c r="B7" s="50" t="s">
        <v>103</v>
      </c>
      <c r="C7" s="50"/>
      <c r="D7" s="50" t="s">
        <v>164</v>
      </c>
      <c r="E7" s="50"/>
      <c r="F7" s="50" t="s">
        <v>179</v>
      </c>
      <c r="G7" s="50"/>
      <c r="H7" s="50" t="s">
        <v>180</v>
      </c>
      <c r="I7" s="50"/>
      <c r="J7" s="50" t="s">
        <v>181</v>
      </c>
      <c r="K7" s="50"/>
      <c r="L7" s="50" t="s">
        <v>182</v>
      </c>
      <c r="M7" s="50"/>
    </row>
    <row r="8" spans="2:13" ht="34" customHeight="1">
      <c r="B8" s="51">
        <f>Forecast!Q19</f>
        <v>4035740.629368854</v>
      </c>
      <c r="C8" s="51"/>
      <c r="D8" s="51">
        <f>Forecast!Q40</f>
        <v>3642256.530323883</v>
      </c>
      <c r="E8" s="51"/>
      <c r="F8" s="51">
        <f>Forecast!Q40/13</f>
        <v>280173.5792556833</v>
      </c>
      <c r="G8" s="51"/>
      <c r="H8" s="54">
        <f>Forecast!P48</f>
        <v>3</v>
      </c>
      <c r="I8" s="54"/>
      <c r="J8" s="52">
        <f>IF(COUNT(Forecast!D50:P50)=0,"None",MIN(Forecast!D50:P50))</f>
        <v>1</v>
      </c>
      <c r="K8" s="52"/>
      <c r="L8" s="51">
        <f>MIN(Forecast!D46:P46)</f>
        <v>-52000</v>
      </c>
      <c r="M8" s="51"/>
    </row>
    <row r="10" spans="2:13">
      <c r="B10" s="15" t="s">
        <v>183</v>
      </c>
      <c r="C10" s="15"/>
      <c r="D10" s="15"/>
      <c r="E10" s="15"/>
      <c r="F10" s="15"/>
      <c r="G10" s="15"/>
      <c r="H10" s="15"/>
      <c r="I10" s="15"/>
      <c r="J10" s="15"/>
      <c r="K10" s="15"/>
      <c r="L10" s="15"/>
      <c r="M10" s="15"/>
    </row>
    <row r="11" spans="2:13" ht="22" customHeight="1">
      <c r="B11" s="5" t="str">
        <f>IF(L5=0,"Cash stays above your minimum buffer in all 13 weeks.","Cash falls below your minimum buffer in "&amp;L5&amp;" of the 13 weeks. The first week is Week "&amp;J8&amp;".")</f>
        <v>Cash falls below your minimum buffer in 2 of the 13 weeks. The first week is Week 1.</v>
      </c>
      <c r="C11" s="5"/>
      <c r="D11" s="5"/>
      <c r="E11" s="5"/>
      <c r="F11" s="5"/>
      <c r="G11" s="5"/>
      <c r="H11" s="5"/>
      <c r="I11" s="5"/>
      <c r="J11" s="5"/>
      <c r="K11" s="5"/>
      <c r="L11" s="5"/>
      <c r="M11" s="5"/>
    </row>
    <row r="12" spans="2:13" ht="22" customHeight="1">
      <c r="B12" s="5" t="str">
        <f>IF(H5&lt;0,"Cash goes negative. The low point is Week "&amp;J5&amp;", when the balance is "&amp;TEXT(H5,"#,##0")&amp;". Arrange funding or speed up collections before then.","No overdraft is forecast. The lowest balance is "&amp;TEXT(H5,"#,##0")&amp;" in Week "&amp;J5&amp;".")</f>
        <v>No overdraft is forecast. The lowest balance is 348,000 in Week 1.</v>
      </c>
      <c r="C12" s="5"/>
      <c r="D12" s="5"/>
      <c r="E12" s="5"/>
      <c r="F12" s="5"/>
      <c r="G12" s="5"/>
      <c r="H12" s="5"/>
      <c r="I12" s="5"/>
      <c r="J12" s="5"/>
      <c r="K12" s="5"/>
      <c r="L12" s="5"/>
      <c r="M12" s="5"/>
    </row>
    <row r="13" spans="2:13" ht="22" customHeight="1">
      <c r="B13" s="5" t="str">
        <f>"Over 13 weeks you collect "&amp;TEXT(B8,"#,##0")&amp;" and pay "&amp;TEXT(D8,"#,##0")&amp;", a net change of "&amp;TEXT(F5,"#,##0")&amp;". Average weekly payments are "&amp;TEXT(F8,"#,##0")&amp;"."</f>
        <v>Over 13 weeks you collect 4,035,741 and pay 3,642,257, a net change of 393,484. Average weekly payments are 280,174.</v>
      </c>
      <c r="C13" s="5"/>
      <c r="D13" s="5"/>
      <c r="E13" s="5"/>
      <c r="F13" s="5"/>
      <c r="G13" s="5"/>
      <c r="H13" s="5"/>
      <c r="I13" s="5"/>
      <c r="J13" s="5"/>
      <c r="K13" s="5"/>
      <c r="L13" s="5"/>
      <c r="M13" s="5"/>
    </row>
    <row r="63" spans="2:13">
      <c r="B63" s="15" t="s">
        <v>184</v>
      </c>
      <c r="C63" s="15"/>
      <c r="D63" s="15"/>
      <c r="E63" s="15"/>
      <c r="F63" s="15"/>
      <c r="G63" s="15"/>
      <c r="H63" s="15"/>
      <c r="I63" s="15"/>
      <c r="J63" s="15"/>
      <c r="K63" s="15"/>
      <c r="L63" s="15"/>
      <c r="M63" s="15"/>
    </row>
    <row r="64" spans="2:13">
      <c r="B64" s="8" t="s">
        <v>185</v>
      </c>
      <c r="C64" s="8"/>
      <c r="D64" s="8"/>
      <c r="E64" s="8"/>
      <c r="F64" s="8"/>
      <c r="G64" s="8"/>
      <c r="H64" s="8"/>
      <c r="I64" s="8"/>
      <c r="J64" s="8"/>
      <c r="K64" s="8"/>
      <c r="L64" s="55" t="str">
        <f>IF(ROUND(Setup!C34,4)=1,"OK","CHECK")</f>
        <v>OK</v>
      </c>
      <c r="M64" s="55"/>
    </row>
    <row r="65" spans="2:13">
      <c r="B65" s="8" t="s">
        <v>186</v>
      </c>
      <c r="C65" s="8"/>
      <c r="D65" s="8"/>
      <c r="E65" s="8"/>
      <c r="F65" s="8"/>
      <c r="G65" s="8"/>
      <c r="H65" s="8"/>
      <c r="I65" s="8"/>
      <c r="J65" s="8"/>
      <c r="K65" s="8"/>
      <c r="L65" s="55" t="str">
        <f>IF(ABS(Forecast!D8+Forecast!Q42-Forecast!P43)&lt;0.5,"OK","CHECK")</f>
        <v>OK</v>
      </c>
      <c r="M65" s="55"/>
    </row>
    <row r="66" spans="2:13">
      <c r="B66" s="8" t="s">
        <v>187</v>
      </c>
      <c r="C66" s="8"/>
      <c r="D66" s="8"/>
      <c r="E66" s="8"/>
      <c r="F66" s="8"/>
      <c r="G66" s="8"/>
      <c r="H66" s="8"/>
      <c r="I66" s="8"/>
      <c r="J66" s="8"/>
      <c r="K66" s="8"/>
      <c r="L66" s="55" t="str">
        <f>IF(ABS(SUM(Forecast!Q26:Q38)-Payments!U39)&lt;0.5,"OK","CHECK")</f>
        <v>OK</v>
      </c>
      <c r="M66" s="55"/>
    </row>
    <row r="67" spans="2:13">
      <c r="B67" s="8" t="s">
        <v>188</v>
      </c>
      <c r="C67" s="8"/>
      <c r="D67" s="8"/>
      <c r="E67" s="8"/>
      <c r="F67" s="8"/>
      <c r="G67" s="8"/>
      <c r="H67" s="8"/>
      <c r="I67" s="8"/>
      <c r="J67" s="8"/>
      <c r="K67" s="8"/>
      <c r="L67" s="55" t="str">
        <f>IF(ABS(Forecast!Q19-Revenue!Q30)&lt;0.5,"OK","CHECK")</f>
        <v>OK</v>
      </c>
      <c r="M67" s="55"/>
    </row>
    <row r="68" spans="2:13">
      <c r="B68" s="8" t="s">
        <v>189</v>
      </c>
      <c r="C68" s="8"/>
      <c r="D68" s="8"/>
      <c r="E68" s="8"/>
      <c r="F68" s="8"/>
      <c r="G68" s="8"/>
      <c r="H68" s="8"/>
      <c r="I68" s="8"/>
      <c r="J68" s="8"/>
      <c r="K68" s="8"/>
      <c r="L68" s="55" t="str">
        <f>IF(ISNUMBER(OpeningCash),"OK","CHECK")</f>
        <v>OK</v>
      </c>
      <c r="M68" s="55"/>
    </row>
    <row r="69" spans="2:13">
      <c r="B69" s="29" t="s">
        <v>190</v>
      </c>
      <c r="C69" s="29"/>
      <c r="D69" s="29"/>
      <c r="E69" s="29"/>
      <c r="F69" s="29"/>
      <c r="G69" s="29"/>
      <c r="H69" s="29"/>
      <c r="I69" s="29"/>
      <c r="J69" s="29"/>
      <c r="K69" s="29"/>
      <c r="L69" s="55" t="str">
        <f>IF(COUNTIF(L64:L68,"OK")=5,"ALL PASS","REVIEW")</f>
        <v>ALL PASS</v>
      </c>
      <c r="M69" s="55"/>
    </row>
  </sheetData>
  <mergeCells count="43">
    <mergeCell ref="B1:M1"/>
    <mergeCell ref="B2:M2"/>
    <mergeCell ref="B4:C4"/>
    <mergeCell ref="B5:C5"/>
    <mergeCell ref="D4:E4"/>
    <mergeCell ref="D5:E5"/>
    <mergeCell ref="F4:G4"/>
    <mergeCell ref="F5:G5"/>
    <mergeCell ref="H4:I4"/>
    <mergeCell ref="H5:I5"/>
    <mergeCell ref="J4:K4"/>
    <mergeCell ref="J5:K5"/>
    <mergeCell ref="L4:M4"/>
    <mergeCell ref="L5:M5"/>
    <mergeCell ref="B7:C7"/>
    <mergeCell ref="B8:C8"/>
    <mergeCell ref="D7:E7"/>
    <mergeCell ref="D8:E8"/>
    <mergeCell ref="F7:G7"/>
    <mergeCell ref="F8:G8"/>
    <mergeCell ref="H7:I7"/>
    <mergeCell ref="H8:I8"/>
    <mergeCell ref="J7:K7"/>
    <mergeCell ref="J8:K8"/>
    <mergeCell ref="L7:M7"/>
    <mergeCell ref="L8:M8"/>
    <mergeCell ref="B10:M10"/>
    <mergeCell ref="B11:M11"/>
    <mergeCell ref="B12:M12"/>
    <mergeCell ref="B13:M13"/>
    <mergeCell ref="B63:M63"/>
    <mergeCell ref="B64:K64"/>
    <mergeCell ref="L64:M64"/>
    <mergeCell ref="B65:K65"/>
    <mergeCell ref="L65:M65"/>
    <mergeCell ref="B66:K66"/>
    <mergeCell ref="L66:M66"/>
    <mergeCell ref="B67:K67"/>
    <mergeCell ref="L67:M67"/>
    <mergeCell ref="B68:K68"/>
    <mergeCell ref="L68:M68"/>
    <mergeCell ref="B69:K69"/>
    <mergeCell ref="L69:M69"/>
  </mergeCells>
  <conditionalFormatting sqref="L64:L68">
    <cfRule type="cellIs" dxfId="1" priority="1" operator="equal">
      <formula>"OK"</formula>
    </cfRule>
    <cfRule type="cellIs" dxfId="3" priority="2" operator="equal">
      <formula>"CHECK"</formula>
    </cfRule>
  </conditionalFormatting>
  <conditionalFormatting sqref="L69">
    <cfRule type="cellIs" dxfId="1" priority="3" operator="equal">
      <formula>"ALL PASS"</formula>
    </cfRule>
    <cfRule type="cellIs" dxfId="3" priority="4" operator="equal">
      <formula>"REVIEW"</formula>
    </cfRule>
  </conditionalFormatting>
  <pageMargins left="0.7" right="0.7" top="0.75" bottom="0.75" header="0.3" footer="0.3"/>
  <pageSetup paperSize="9" fitToHeight="0" orientation="landscape"/>
  <headerFooter>
    <oddFooter>&amp;L&amp;"Arial,Regular"&amp;8OzaniX Partners  |  ozanixpartners.com&amp;R&amp;"Arial,Regular"&amp;8&amp;A  |  Page &amp;P of &amp;N</oddFooter>
  </headerFooter>
  <drawing r:id="rId1"/>
</worksheet>
</file>

<file path=xl/worksheets/sheet8.xml><?xml version="1.0" encoding="utf-8"?>
<worksheet xmlns="http://schemas.openxmlformats.org/spreadsheetml/2006/main" xmlns:r="http://schemas.openxmlformats.org/officeDocument/2006/relationships">
  <dimension ref="A1:C13"/>
  <sheetViews>
    <sheetView workbookViewId="0"/>
  </sheetViews>
  <sheetFormatPr defaultRowHeight="15"/>
  <sheetData>
    <row r="1" spans="1:3">
      <c r="A1" t="s">
        <v>0</v>
      </c>
      <c r="B1" t="s">
        <v>13</v>
      </c>
      <c r="C1" t="s">
        <v>18</v>
      </c>
    </row>
    <row r="2" spans="1:3">
      <c r="A2" t="s">
        <v>1</v>
      </c>
      <c r="B2" t="s">
        <v>14</v>
      </c>
      <c r="C2" t="s">
        <v>19</v>
      </c>
    </row>
    <row r="3" spans="1:3">
      <c r="A3" t="s">
        <v>2</v>
      </c>
      <c r="B3" t="s">
        <v>15</v>
      </c>
      <c r="C3" t="s">
        <v>20</v>
      </c>
    </row>
    <row r="4" spans="1:3">
      <c r="A4" t="s">
        <v>3</v>
      </c>
      <c r="B4" t="s">
        <v>16</v>
      </c>
    </row>
    <row r="5" spans="1:3">
      <c r="A5" t="s">
        <v>4</v>
      </c>
      <c r="B5" t="s">
        <v>17</v>
      </c>
    </row>
    <row r="6" spans="1:3">
      <c r="A6" t="s">
        <v>5</v>
      </c>
    </row>
    <row r="7" spans="1:3">
      <c r="A7" t="s">
        <v>6</v>
      </c>
    </row>
    <row r="8" spans="1:3">
      <c r="A8" t="s">
        <v>7</v>
      </c>
    </row>
    <row r="9" spans="1:3">
      <c r="A9" t="s">
        <v>8</v>
      </c>
    </row>
    <row r="10" spans="1:3">
      <c r="A10" t="s">
        <v>9</v>
      </c>
    </row>
    <row r="11" spans="1:3">
      <c r="A11" t="s">
        <v>10</v>
      </c>
    </row>
    <row r="12" spans="1:3">
      <c r="A12" t="s">
        <v>11</v>
      </c>
    </row>
    <row r="13" spans="1:3">
      <c r="A13"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15</vt:i4>
      </vt:variant>
    </vt:vector>
  </HeadingPairs>
  <TitlesOfParts>
    <vt:vector size="23" baseType="lpstr">
      <vt:lpstr>Start Here</vt:lpstr>
      <vt:lpstr>Setup</vt:lpstr>
      <vt:lpstr>Opening Items</vt:lpstr>
      <vt:lpstr>Revenue</vt:lpstr>
      <vt:lpstr>Payments</vt:lpstr>
      <vt:lpstr>Forecast</vt:lpstr>
      <vt:lpstr>Dashboard</vt:lpstr>
      <vt:lpstr>Lists</vt:lpstr>
      <vt:lpstr>BaseBilling</vt:lpstr>
      <vt:lpstr>BillAdj</vt:lpstr>
      <vt:lpstr>ClinicName</vt:lpstr>
      <vt:lpstr>CostAdj</vt:lpstr>
      <vt:lpstr>Currency</vt:lpstr>
      <vt:lpstr>DelayAdj</vt:lpstr>
      <vt:lpstr>DenialAdj</vt:lpstr>
      <vt:lpstr>GrowthWk</vt:lpstr>
      <vt:lpstr>MinBuffer</vt:lpstr>
      <vt:lpstr>OpeningCash</vt:lpstr>
      <vt:lpstr>Dashboard!Print_Area</vt:lpstr>
      <vt:lpstr>Forecast!Print_Area</vt:lpstr>
      <vt:lpstr>Forecast!Print_Titles</vt:lpstr>
      <vt:lpstr>Scenario</vt:lpstr>
      <vt:lpstr>StartDate</vt:lpstr>
    </vt:vector>
  </TitlesOfParts>
  <Company>OzaniX Partners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 Week Cash Flow Forecast for Clinics</dc:title>
  <dc:subject>Cash flow forecasting template</dc:subject>
  <dc:creator>OzaniX Partners</dc:creator>
  <cp:keywords>cash flow, 13 week, clinic, forecast, healthcare, UAE</cp:keywords>
  <dc:description>Prepared by OzaniX Partners. General guidance, not financial advice.</dc:description>
  <cp:lastModifiedBy>OzaniX Partners</cp:lastModifiedBy>
  <dcterms:created xsi:type="dcterms:W3CDTF">2026-09-21T05:42:38Z</dcterms:created>
  <dcterms:modified xsi:type="dcterms:W3CDTF">2026-09-21T05:42:38Z</dcterms:modified>
  <cp:category>Finance template</cp:category>
</cp:coreProperties>
</file>